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13_ncr:1_{313121CE-C393-4AA7-9371-27068B84707F}" xr6:coauthVersionLast="47" xr6:coauthVersionMax="47" xr10:uidLastSave="{00000000-0000-0000-0000-000000000000}"/>
  <bookViews>
    <workbookView xWindow="10718" yWindow="0" windowWidth="10965" windowHeight="13763" tabRatio="875" firstSheet="1" activeTab="3" xr2:uid="{00000000-000D-0000-FFFF-FFFF00000000}"/>
  </bookViews>
  <sheets>
    <sheet name="Free Cash Flow" sheetId="1" r:id="rId1"/>
    <sheet name="Fixed Assets" sheetId="2" r:id="rId2"/>
    <sheet name="Net Working Capital" sheetId="3" r:id="rId3"/>
    <sheet name="DCF" sheetId="4" r:id="rId4"/>
    <sheet name="WACC" sheetId="5" r:id="rId5"/>
    <sheet name="Data Source --&gt;" sheetId="6" r:id="rId6"/>
    <sheet name="Income Statement" sheetId="7" r:id="rId7"/>
    <sheet name="Balance Sheet" sheetId="8" r:id="rId8"/>
    <sheet name="Cash Flow Statement" sheetId="9" r:id="rId9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9" i="4" l="1"/>
  <c r="C16" i="5"/>
  <c r="E56" i="7"/>
  <c r="D56" i="7"/>
  <c r="D54" i="7" s="1"/>
  <c r="C56" i="7"/>
  <c r="C54" i="7" s="1"/>
  <c r="C8" i="1" s="1"/>
  <c r="B56" i="7"/>
  <c r="E55" i="7"/>
  <c r="D55" i="7"/>
  <c r="C55" i="7"/>
  <c r="B55" i="7"/>
  <c r="B54" i="7"/>
  <c r="C31" i="5"/>
  <c r="C27" i="5"/>
  <c r="C4" i="5"/>
  <c r="C15" i="5" s="1"/>
  <c r="C18" i="4"/>
  <c r="C17" i="4"/>
  <c r="C16" i="4"/>
  <c r="E25" i="3"/>
  <c r="D25" i="3"/>
  <c r="C25" i="3"/>
  <c r="F24" i="3"/>
  <c r="C24" i="3"/>
  <c r="C23" i="3"/>
  <c r="F21" i="3"/>
  <c r="E21" i="3"/>
  <c r="F20" i="3"/>
  <c r="E20" i="3"/>
  <c r="G20" i="3" s="1"/>
  <c r="D20" i="3"/>
  <c r="C20" i="3"/>
  <c r="C19" i="3"/>
  <c r="F17" i="3"/>
  <c r="E17" i="3"/>
  <c r="D17" i="3"/>
  <c r="C17" i="3"/>
  <c r="F16" i="3"/>
  <c r="E16" i="3"/>
  <c r="D16" i="3"/>
  <c r="C16" i="3"/>
  <c r="F12" i="3"/>
  <c r="E12" i="3"/>
  <c r="C12" i="3"/>
  <c r="F9" i="3"/>
  <c r="E9" i="3"/>
  <c r="D9" i="3"/>
  <c r="C9" i="3"/>
  <c r="C21" i="3" s="1"/>
  <c r="E7" i="3"/>
  <c r="D19" i="1" s="1"/>
  <c r="F5" i="3"/>
  <c r="E5" i="3"/>
  <c r="D5" i="3"/>
  <c r="C5" i="3"/>
  <c r="C7" i="3" s="1"/>
  <c r="F4" i="3"/>
  <c r="E4" i="3"/>
  <c r="D4" i="3"/>
  <c r="C4" i="3"/>
  <c r="E12" i="2"/>
  <c r="E7" i="2"/>
  <c r="D7" i="2"/>
  <c r="C7" i="2"/>
  <c r="E6" i="2"/>
  <c r="E16" i="1" s="1"/>
  <c r="D6" i="2"/>
  <c r="D16" i="1" s="1"/>
  <c r="D36" i="1" s="1"/>
  <c r="C6" i="2"/>
  <c r="C16" i="1" s="1"/>
  <c r="C36" i="1" s="1"/>
  <c r="E5" i="2"/>
  <c r="E11" i="2" s="1"/>
  <c r="D5" i="2"/>
  <c r="C5" i="2"/>
  <c r="F4" i="2"/>
  <c r="E4" i="2"/>
  <c r="D4" i="2"/>
  <c r="C4" i="2"/>
  <c r="E36" i="1"/>
  <c r="E29" i="1"/>
  <c r="D29" i="1"/>
  <c r="C29" i="1"/>
  <c r="F29" i="1" s="1"/>
  <c r="G29" i="1" s="1"/>
  <c r="H29" i="1" s="1"/>
  <c r="I29" i="1" s="1"/>
  <c r="J29" i="1" s="1"/>
  <c r="E25" i="1"/>
  <c r="J24" i="1"/>
  <c r="I24" i="1"/>
  <c r="H24" i="1"/>
  <c r="G24" i="1"/>
  <c r="F24" i="1"/>
  <c r="E24" i="1"/>
  <c r="D24" i="1"/>
  <c r="C24" i="1"/>
  <c r="B24" i="1"/>
  <c r="E20" i="1"/>
  <c r="D20" i="1"/>
  <c r="C15" i="1"/>
  <c r="E13" i="1"/>
  <c r="D13" i="1"/>
  <c r="C13" i="1"/>
  <c r="E11" i="1"/>
  <c r="E37" i="1" s="1"/>
  <c r="C11" i="1"/>
  <c r="D8" i="1"/>
  <c r="E5" i="1"/>
  <c r="E27" i="1" s="1"/>
  <c r="D5" i="1"/>
  <c r="D27" i="1" s="1"/>
  <c r="C5" i="1"/>
  <c r="C27" i="1" s="1"/>
  <c r="F27" i="1" s="1"/>
  <c r="E4" i="1"/>
  <c r="D4" i="1"/>
  <c r="C4" i="1"/>
  <c r="C28" i="5" l="1"/>
  <c r="C29" i="5"/>
  <c r="C18" i="5"/>
  <c r="F28" i="1"/>
  <c r="G27" i="1"/>
  <c r="H20" i="3"/>
  <c r="C9" i="1"/>
  <c r="C28" i="1"/>
  <c r="D9" i="1"/>
  <c r="D28" i="1"/>
  <c r="D11" i="1"/>
  <c r="D11" i="2"/>
  <c r="D18" i="1"/>
  <c r="C12" i="2"/>
  <c r="D12" i="2"/>
  <c r="E15" i="1"/>
  <c r="C8" i="5"/>
  <c r="C32" i="5" s="1"/>
  <c r="D21" i="3"/>
  <c r="G21" i="3" s="1"/>
  <c r="D12" i="3"/>
  <c r="C20" i="1" s="1"/>
  <c r="D23" i="3"/>
  <c r="G23" i="3" s="1"/>
  <c r="D24" i="3"/>
  <c r="G24" i="3" s="1"/>
  <c r="D19" i="3"/>
  <c r="G19" i="3" s="1"/>
  <c r="E23" i="3"/>
  <c r="E24" i="3"/>
  <c r="E19" i="3"/>
  <c r="F23" i="3"/>
  <c r="F25" i="3"/>
  <c r="G25" i="3" s="1"/>
  <c r="C11" i="2"/>
  <c r="C37" i="1"/>
  <c r="C6" i="1"/>
  <c r="F19" i="3"/>
  <c r="F7" i="3"/>
  <c r="E19" i="1" s="1"/>
  <c r="E18" i="1" s="1"/>
  <c r="E17" i="1" s="1"/>
  <c r="E54" i="7"/>
  <c r="E8" i="1" s="1"/>
  <c r="D6" i="1"/>
  <c r="E6" i="1"/>
  <c r="F4" i="1"/>
  <c r="D7" i="3"/>
  <c r="C19" i="1" s="1"/>
  <c r="D25" i="1"/>
  <c r="H25" i="3" l="1"/>
  <c r="H23" i="3"/>
  <c r="H24" i="3"/>
  <c r="D10" i="1"/>
  <c r="D33" i="1"/>
  <c r="H19" i="3"/>
  <c r="E9" i="1"/>
  <c r="E10" i="1" s="1"/>
  <c r="E28" i="1"/>
  <c r="C10" i="1"/>
  <c r="C33" i="1"/>
  <c r="H21" i="3"/>
  <c r="F11" i="2"/>
  <c r="G11" i="2" s="1"/>
  <c r="H11" i="2" s="1"/>
  <c r="I11" i="2" s="1"/>
  <c r="J11" i="2" s="1"/>
  <c r="I20" i="3"/>
  <c r="F5" i="2"/>
  <c r="G4" i="1"/>
  <c r="F6" i="1"/>
  <c r="F6" i="2"/>
  <c r="F16" i="1" s="1"/>
  <c r="F36" i="1" s="1"/>
  <c r="G16" i="3"/>
  <c r="G10" i="3" s="1"/>
  <c r="F8" i="1"/>
  <c r="F9" i="1" s="1"/>
  <c r="F12" i="2"/>
  <c r="G12" i="2" s="1"/>
  <c r="H12" i="2" s="1"/>
  <c r="I12" i="2" s="1"/>
  <c r="J12" i="2" s="1"/>
  <c r="G28" i="1"/>
  <c r="H27" i="1"/>
  <c r="D37" i="1"/>
  <c r="D15" i="1"/>
  <c r="C18" i="1"/>
  <c r="C17" i="1" s="1"/>
  <c r="F5" i="1"/>
  <c r="G17" i="3" s="1"/>
  <c r="G5" i="3" s="1"/>
  <c r="E33" i="1"/>
  <c r="D17" i="1"/>
  <c r="F25" i="4" l="1"/>
  <c r="E12" i="1"/>
  <c r="F24" i="4"/>
  <c r="E34" i="1"/>
  <c r="E31" i="1"/>
  <c r="G4" i="3"/>
  <c r="G5" i="2"/>
  <c r="G11" i="1" s="1"/>
  <c r="H4" i="1"/>
  <c r="G6" i="1"/>
  <c r="G6" i="2"/>
  <c r="G16" i="1" s="1"/>
  <c r="G36" i="1" s="1"/>
  <c r="H16" i="3"/>
  <c r="H4" i="3" s="1"/>
  <c r="G8" i="1"/>
  <c r="G9" i="1" s="1"/>
  <c r="I19" i="3"/>
  <c r="G11" i="3"/>
  <c r="G5" i="1"/>
  <c r="H17" i="3" s="1"/>
  <c r="H5" i="3" s="1"/>
  <c r="I24" i="3"/>
  <c r="I27" i="1"/>
  <c r="H5" i="1"/>
  <c r="I17" i="3" s="1"/>
  <c r="H28" i="1"/>
  <c r="H9" i="3"/>
  <c r="I21" i="3"/>
  <c r="G6" i="3"/>
  <c r="I23" i="3"/>
  <c r="I25" i="3"/>
  <c r="F33" i="1"/>
  <c r="F10" i="1"/>
  <c r="F11" i="1"/>
  <c r="F7" i="2"/>
  <c r="G4" i="2" s="1"/>
  <c r="J20" i="3"/>
  <c r="I5" i="3"/>
  <c r="E24" i="4"/>
  <c r="E25" i="4"/>
  <c r="D31" i="1"/>
  <c r="D12" i="1"/>
  <c r="D34" i="1"/>
  <c r="G9" i="3"/>
  <c r="G12" i="3" s="1"/>
  <c r="F20" i="1" s="1"/>
  <c r="D24" i="4"/>
  <c r="D25" i="4"/>
  <c r="C31" i="1"/>
  <c r="C12" i="1"/>
  <c r="C34" i="1"/>
  <c r="I9" i="3" l="1"/>
  <c r="J21" i="3"/>
  <c r="G7" i="3"/>
  <c r="F19" i="1" s="1"/>
  <c r="F18" i="1" s="1"/>
  <c r="F17" i="1" s="1"/>
  <c r="J25" i="3"/>
  <c r="D30" i="1"/>
  <c r="D14" i="1"/>
  <c r="D21" i="1" s="1"/>
  <c r="D35" i="1"/>
  <c r="H6" i="3"/>
  <c r="H7" i="3" s="1"/>
  <c r="G19" i="1" s="1"/>
  <c r="C35" i="1"/>
  <c r="C14" i="1"/>
  <c r="C21" i="1" s="1"/>
  <c r="C30" i="1"/>
  <c r="K20" i="3"/>
  <c r="G33" i="1"/>
  <c r="G10" i="1"/>
  <c r="G7" i="2"/>
  <c r="H4" i="2" s="1"/>
  <c r="I4" i="1"/>
  <c r="I5" i="1" s="1"/>
  <c r="J17" i="3" s="1"/>
  <c r="J5" i="3" s="1"/>
  <c r="H8" i="1"/>
  <c r="H9" i="1" s="1"/>
  <c r="H6" i="1"/>
  <c r="H6" i="2"/>
  <c r="H16" i="1" s="1"/>
  <c r="H36" i="1" s="1"/>
  <c r="I16" i="3"/>
  <c r="I11" i="3" s="1"/>
  <c r="H5" i="2"/>
  <c r="H11" i="1" s="1"/>
  <c r="F37" i="1"/>
  <c r="F15" i="1"/>
  <c r="I28" i="1"/>
  <c r="J27" i="1"/>
  <c r="G15" i="1"/>
  <c r="G37" i="1"/>
  <c r="G25" i="4"/>
  <c r="F12" i="1"/>
  <c r="G24" i="4"/>
  <c r="F34" i="1"/>
  <c r="H11" i="3"/>
  <c r="J24" i="3"/>
  <c r="H10" i="3"/>
  <c r="H12" i="3" s="1"/>
  <c r="G20" i="1" s="1"/>
  <c r="E30" i="1"/>
  <c r="E14" i="1"/>
  <c r="E21" i="1" s="1"/>
  <c r="E35" i="1"/>
  <c r="J23" i="3"/>
  <c r="J19" i="3"/>
  <c r="I4" i="3"/>
  <c r="G18" i="1" l="1"/>
  <c r="G17" i="1" s="1"/>
  <c r="I6" i="3"/>
  <c r="H25" i="4"/>
  <c r="G12" i="1"/>
  <c r="H24" i="4"/>
  <c r="G34" i="1"/>
  <c r="I10" i="3"/>
  <c r="I12" i="3" s="1"/>
  <c r="H20" i="1" s="1"/>
  <c r="H33" i="1"/>
  <c r="H10" i="1"/>
  <c r="K23" i="3"/>
  <c r="J6" i="3"/>
  <c r="H7" i="2"/>
  <c r="I4" i="2" s="1"/>
  <c r="J28" i="1"/>
  <c r="K25" i="3"/>
  <c r="I7" i="3"/>
  <c r="H19" i="1" s="1"/>
  <c r="D4" i="4"/>
  <c r="D26" i="4"/>
  <c r="D27" i="4"/>
  <c r="K19" i="3"/>
  <c r="J4" i="3"/>
  <c r="J7" i="3" s="1"/>
  <c r="I19" i="1" s="1"/>
  <c r="F35" i="1"/>
  <c r="I8" i="1"/>
  <c r="I9" i="1" s="1"/>
  <c r="I6" i="2"/>
  <c r="I16" i="1" s="1"/>
  <c r="I36" i="1" s="1"/>
  <c r="J4" i="1"/>
  <c r="J16" i="3"/>
  <c r="J10" i="3" s="1"/>
  <c r="I6" i="1"/>
  <c r="I5" i="2"/>
  <c r="I11" i="1" s="1"/>
  <c r="E4" i="4"/>
  <c r="E26" i="4"/>
  <c r="E27" i="4"/>
  <c r="F4" i="4"/>
  <c r="F26" i="4"/>
  <c r="F27" i="4"/>
  <c r="K24" i="3"/>
  <c r="J9" i="3"/>
  <c r="K21" i="3"/>
  <c r="H15" i="1"/>
  <c r="H37" i="1"/>
  <c r="F30" i="1"/>
  <c r="F13" i="1" s="1"/>
  <c r="F14" i="1" s="1"/>
  <c r="F21" i="1" s="1"/>
  <c r="G26" i="4" l="1"/>
  <c r="G4" i="4"/>
  <c r="G27" i="4"/>
  <c r="I18" i="1"/>
  <c r="I17" i="1" s="1"/>
  <c r="K4" i="3"/>
  <c r="K7" i="3" s="1"/>
  <c r="J19" i="1" s="1"/>
  <c r="I25" i="4"/>
  <c r="H12" i="1"/>
  <c r="I24" i="4"/>
  <c r="H34" i="1"/>
  <c r="I15" i="1"/>
  <c r="I37" i="1"/>
  <c r="J12" i="3"/>
  <c r="I20" i="1" s="1"/>
  <c r="J6" i="2"/>
  <c r="J16" i="1" s="1"/>
  <c r="J36" i="1" s="1"/>
  <c r="K16" i="3"/>
  <c r="K11" i="3" s="1"/>
  <c r="J8" i="1"/>
  <c r="J9" i="1" s="1"/>
  <c r="J6" i="1"/>
  <c r="J5" i="2"/>
  <c r="J11" i="1" s="1"/>
  <c r="J11" i="3"/>
  <c r="G35" i="1"/>
  <c r="J5" i="1"/>
  <c r="K17" i="3" s="1"/>
  <c r="K5" i="3" s="1"/>
  <c r="G30" i="1"/>
  <c r="H30" i="1" s="1"/>
  <c r="I30" i="1" s="1"/>
  <c r="J30" i="1" s="1"/>
  <c r="C7" i="5"/>
  <c r="C9" i="5" s="1"/>
  <c r="K6" i="3"/>
  <c r="K9" i="3"/>
  <c r="I33" i="1"/>
  <c r="I10" i="1"/>
  <c r="H18" i="1"/>
  <c r="H17" i="1" s="1"/>
  <c r="I7" i="2"/>
  <c r="J4" i="2" s="1"/>
  <c r="C12" i="4" l="1"/>
  <c r="C30" i="5"/>
  <c r="J37" i="1"/>
  <c r="J15" i="1"/>
  <c r="G13" i="1"/>
  <c r="G14" i="1" s="1"/>
  <c r="G21" i="1" s="1"/>
  <c r="J7" i="2"/>
  <c r="K10" i="3"/>
  <c r="K12" i="3" s="1"/>
  <c r="J20" i="1" s="1"/>
  <c r="J18" i="1" s="1"/>
  <c r="J17" i="1" s="1"/>
  <c r="J33" i="1"/>
  <c r="J10" i="1"/>
  <c r="I12" i="1"/>
  <c r="J24" i="4"/>
  <c r="J25" i="4"/>
  <c r="I34" i="1"/>
  <c r="H35" i="1"/>
  <c r="H13" i="1"/>
  <c r="H14" i="1" s="1"/>
  <c r="H21" i="1" s="1"/>
  <c r="I26" i="4" l="1"/>
  <c r="I4" i="4"/>
  <c r="I27" i="4"/>
  <c r="J34" i="1"/>
  <c r="J12" i="1"/>
  <c r="K24" i="4"/>
  <c r="K25" i="4"/>
  <c r="H26" i="4"/>
  <c r="H4" i="4"/>
  <c r="H7" i="4" s="1"/>
  <c r="H27" i="4"/>
  <c r="C23" i="5"/>
  <c r="G7" i="4"/>
  <c r="C33" i="5"/>
  <c r="I35" i="1"/>
  <c r="I13" i="1"/>
  <c r="I14" i="1" s="1"/>
  <c r="I21" i="1" s="1"/>
  <c r="J26" i="4" l="1"/>
  <c r="J4" i="4"/>
  <c r="J7" i="4" s="1"/>
  <c r="J27" i="4"/>
  <c r="J13" i="1"/>
  <c r="J14" i="1" s="1"/>
  <c r="J21" i="1" s="1"/>
  <c r="J35" i="1"/>
  <c r="I7" i="4"/>
  <c r="K26" i="4" l="1"/>
  <c r="K4" i="4"/>
  <c r="K27" i="4"/>
  <c r="K7" i="4" l="1"/>
  <c r="C10" i="4" s="1"/>
  <c r="C13" i="4"/>
  <c r="C14" i="4" s="1"/>
  <c r="C15" i="4" l="1"/>
  <c r="C21" i="4" s="1"/>
  <c r="F1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C20" authorId="0" shapeId="0" xr:uid="{00000000-0006-0000-0300-000002000000}">
      <text>
        <r>
          <rPr>
            <sz val="10"/>
            <rFont val="Arial"/>
            <family val="2"/>
          </rPr>
          <t>======
ID#AAAAccCPVgg
kenji    (2022-07-02 07:51:37)
Source: Company 10k filing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8" authorId="0" shapeId="0" xr:uid="{00000000-0006-0000-0700-000001000000}">
      <text>
        <r>
          <rPr>
            <sz val="10"/>
            <rFont val="Arial"/>
            <family val="2"/>
          </rPr>
          <t xml:space="preserve">Marco Ceriani:
618 exluding YNAP
</t>
        </r>
      </text>
    </comment>
  </commentList>
</comments>
</file>

<file path=xl/sharedStrings.xml><?xml version="1.0" encoding="utf-8"?>
<sst xmlns="http://schemas.openxmlformats.org/spreadsheetml/2006/main" count="278" uniqueCount="250">
  <si>
    <t>Unlevered Free Cash Flow (mm)</t>
  </si>
  <si>
    <t>Fiscal Year</t>
  </si>
  <si>
    <t>Revenue</t>
  </si>
  <si>
    <t>COGS</t>
  </si>
  <si>
    <t>Gross Profit</t>
  </si>
  <si>
    <t>Selling, General, Administrative</t>
  </si>
  <si>
    <t>Total Operating Expenses</t>
  </si>
  <si>
    <t>EBITDA</t>
  </si>
  <si>
    <t>Depreciation &amp; Amortization</t>
  </si>
  <si>
    <t>Operating Profit (EBIT)</t>
  </si>
  <si>
    <t>Operating Taxes</t>
  </si>
  <si>
    <t>NOPAT (Net Operating Profit After Taxes)</t>
  </si>
  <si>
    <t>(+) Depreciation &amp; Amortization</t>
  </si>
  <si>
    <t>(-) Capital Expenditures</t>
  </si>
  <si>
    <t>(-) Change in NWC</t>
  </si>
  <si>
    <t>NWC</t>
  </si>
  <si>
    <t>Current Assets</t>
  </si>
  <si>
    <t>Current Liabilitites</t>
  </si>
  <si>
    <t>Unlevered Free Cash Flow</t>
  </si>
  <si>
    <t>Assumptions</t>
  </si>
  <si>
    <t>Revenue Growth</t>
  </si>
  <si>
    <t>COGS % of Revenue</t>
  </si>
  <si>
    <t>SG&amp;A % of Revenue</t>
  </si>
  <si>
    <t>Operating Expenses % of Revenue</t>
  </si>
  <si>
    <t>Tax % of EBIT</t>
  </si>
  <si>
    <t>Target EBITDA Margin %</t>
  </si>
  <si>
    <t>Margin &amp; Efficiency Checks</t>
  </si>
  <si>
    <t>Gross Margin %</t>
  </si>
  <si>
    <t>EBITDA Margin %</t>
  </si>
  <si>
    <t>EBIT Margin %</t>
  </si>
  <si>
    <t>CapEx / Revenue %</t>
  </si>
  <si>
    <t>D&amp;A / Revenue %</t>
  </si>
  <si>
    <t>Fixed Assets Schedule</t>
  </si>
  <si>
    <t>Beginning PP&amp;E + ROU + Other</t>
  </si>
  <si>
    <t>D&amp;A</t>
  </si>
  <si>
    <t>CapEx</t>
  </si>
  <si>
    <t>Ending PP&amp;E + ROU + Other</t>
  </si>
  <si>
    <t>D&amp;A as a % of Revenue</t>
  </si>
  <si>
    <t>CapEx as a % of Revenue</t>
  </si>
  <si>
    <t>Net Working Capital</t>
  </si>
  <si>
    <t>Accounts Receivables</t>
  </si>
  <si>
    <t>Merchandise Inventory</t>
  </si>
  <si>
    <t>Other Current Assets</t>
  </si>
  <si>
    <t>Accounts Payable</t>
  </si>
  <si>
    <t>Current portion of debt</t>
  </si>
  <si>
    <t>Other Current Liabilities</t>
  </si>
  <si>
    <t>Current Liabilities</t>
  </si>
  <si>
    <t>Days Sales Outstanding (DSO)</t>
  </si>
  <si>
    <t>Days Inventory Outstanding (DIO)</t>
  </si>
  <si>
    <t>Days Payable Outstanding (DPO)</t>
  </si>
  <si>
    <t>Other Current Assets as a % of Revenue</t>
  </si>
  <si>
    <t>Other Current Liabilities as a % of Revenue</t>
  </si>
  <si>
    <t>Current portion of debt as a % of Revenue</t>
  </si>
  <si>
    <t>Projection Year</t>
  </si>
  <si>
    <t>Present Value of Free Cash Flow</t>
  </si>
  <si>
    <t>Implied Share Price Calculation</t>
  </si>
  <si>
    <t>Sensitivity Table</t>
  </si>
  <si>
    <t>Sum of PV of FCF</t>
  </si>
  <si>
    <t>Growth Rate</t>
  </si>
  <si>
    <t>WACC</t>
  </si>
  <si>
    <t>Terminal Value</t>
  </si>
  <si>
    <t>PV of Terminal Value</t>
  </si>
  <si>
    <t>Enterprise Value</t>
  </si>
  <si>
    <t>(+) Cash</t>
  </si>
  <si>
    <t>(-) Debt</t>
  </si>
  <si>
    <t>(-) Minority Interest</t>
  </si>
  <si>
    <t>Equity Value</t>
  </si>
  <si>
    <t>Diluted Shares Outstanding (mm)</t>
  </si>
  <si>
    <t>Source: Richemont FY2025 Annual Report, diluted weighted average shares</t>
  </si>
  <si>
    <t>Implied Share Price</t>
  </si>
  <si>
    <t>Model Checks</t>
  </si>
  <si>
    <t>EBITDA (mm)</t>
  </si>
  <si>
    <t>UFCF Margin %</t>
  </si>
  <si>
    <t>FCF Conversion (UFCF / EBITDA)</t>
  </si>
  <si>
    <t>Weighted Average Cost of Capital (WACC)</t>
  </si>
  <si>
    <t>Equity (mm)</t>
  </si>
  <si>
    <t>Debt (mm)</t>
  </si>
  <si>
    <t>Financial borrowings only (excl. lease liabilities) - used in EV bridge</t>
  </si>
  <si>
    <t>Cost of Debt</t>
  </si>
  <si>
    <t>Tax Rate</t>
  </si>
  <si>
    <t>D/(D+E)</t>
  </si>
  <si>
    <t>After Tax Cost of Debt</t>
  </si>
  <si>
    <t>Risk Free Rate (10-Yr German Bund)</t>
  </si>
  <si>
    <t>Expected Market Return</t>
  </si>
  <si>
    <t>Levered Beta</t>
  </si>
  <si>
    <t>E/(D+E)</t>
  </si>
  <si>
    <t>Cost of Equity</t>
  </si>
  <si>
    <t>WACC Peer Reference</t>
  </si>
  <si>
    <t>LVMH WACC (est.)</t>
  </si>
  <si>
    <t>Kering WACC (est.)</t>
  </si>
  <si>
    <t>Richemont WACC (this model)</t>
  </si>
  <si>
    <t>WACC Build Summary</t>
  </si>
  <si>
    <t>Risk-Free Rate (EUR)</t>
  </si>
  <si>
    <t>+ Beta × ERP</t>
  </si>
  <si>
    <t>Cost of Equity (Rf + Beta x ERP)</t>
  </si>
  <si>
    <t>After-tax Cost of Debt</t>
  </si>
  <si>
    <t>Equity Weight</t>
  </si>
  <si>
    <t>Debt Weight</t>
  </si>
  <si>
    <t>Richemont – Consolidated Income Statement</t>
  </si>
  <si>
    <t>For the year ended 31 March  (€ millions)</t>
  </si>
  <si>
    <t>FY2022</t>
  </si>
  <si>
    <t>FY2023</t>
  </si>
  <si>
    <t>FY2024</t>
  </si>
  <si>
    <t>FY2025</t>
  </si>
  <si>
    <t>Cost of sales</t>
  </si>
  <si>
    <t>Gross profit</t>
  </si>
  <si>
    <t>Operating expenses</t>
  </si>
  <si>
    <t>Selling and distribution expenses</t>
  </si>
  <si>
    <t>Communication expenses</t>
  </si>
  <si>
    <t>Fulfilment expenses</t>
  </si>
  <si>
    <t>Administrative expenses</t>
  </si>
  <si>
    <t>Other operating expenses</t>
  </si>
  <si>
    <t>Total operating expenses</t>
  </si>
  <si>
    <t>Operating profit</t>
  </si>
  <si>
    <t>Non-operating items</t>
  </si>
  <si>
    <t>Finance costs</t>
  </si>
  <si>
    <t>Finance income</t>
  </si>
  <si>
    <t>Net financial income/(costs)</t>
  </si>
  <si>
    <t>Share of post-tax results of equity-accounted investments</t>
  </si>
  <si>
    <t>Profit before taxation</t>
  </si>
  <si>
    <t>Taxation</t>
  </si>
  <si>
    <t>Profit for the year from continuing operations</t>
  </si>
  <si>
    <t>Loss for the year from discontinued operations</t>
  </si>
  <si>
    <t>Profit for the year</t>
  </si>
  <si>
    <t>Attributable to:</t>
  </si>
  <si>
    <t>Owners of the parent company</t>
  </si>
  <si>
    <t>Non-controlling interests</t>
  </si>
  <si>
    <t>Key Margins</t>
  </si>
  <si>
    <t>Gross margin</t>
  </si>
  <si>
    <t>Operating margin</t>
  </si>
  <si>
    <t>Net profit margin</t>
  </si>
  <si>
    <t>DEPRECIATION &amp; AMORTISATION (from notes)</t>
  </si>
  <si>
    <t xml:space="preserve">  Depreciation of property, plant and equipment</t>
  </si>
  <si>
    <t xml:space="preserve">  Depreciation of right of use assets</t>
  </si>
  <si>
    <t xml:space="preserve">  Depreciation of investment property</t>
  </si>
  <si>
    <t xml:space="preserve">  Amortisation of other intangible assets</t>
  </si>
  <si>
    <t>Total D&amp;A (excl. impairments)</t>
  </si>
  <si>
    <t xml:space="preserve">  Impairment of property, plant and equipment</t>
  </si>
  <si>
    <t xml:space="preserve">  Impairment of right of use assets</t>
  </si>
  <si>
    <t xml:space="preserve">  Impairment of goodwill</t>
  </si>
  <si>
    <t xml:space="preserve">  Impairment of other intangible assets</t>
  </si>
  <si>
    <t>Total D&amp;A incl. impairments</t>
  </si>
  <si>
    <t xml:space="preserve">  Total D&amp;A per segment reporting</t>
  </si>
  <si>
    <t>Source: Richemont Annual Reports FY2023 (p.79) and FY2025 (p.83). FY2022 &amp; FY2023 re-presented per IFRS; discontinued ops = YNAP.</t>
  </si>
  <si>
    <t>Richemont – Consolidated Balance Sheet</t>
  </si>
  <si>
    <t>At 31 March  (€ millions)</t>
  </si>
  <si>
    <t>NON-CURRENT ASSETS</t>
  </si>
  <si>
    <t>Property, plant and equipment</t>
  </si>
  <si>
    <t>Goodwill</t>
  </si>
  <si>
    <t>Other intangible assets</t>
  </si>
  <si>
    <t>Right of use assets</t>
  </si>
  <si>
    <t>Investment property</t>
  </si>
  <si>
    <t>Equity-accounted investments</t>
  </si>
  <si>
    <t>Deferred income tax assets</t>
  </si>
  <si>
    <t>Financial assets at FVTPL</t>
  </si>
  <si>
    <t>Financial assets at FVTOCI</t>
  </si>
  <si>
    <t>Other non-current assets</t>
  </si>
  <si>
    <t>Total non-current assets</t>
  </si>
  <si>
    <t>CURRENT ASSETS</t>
  </si>
  <si>
    <t>Inventories</t>
  </si>
  <si>
    <t>Trade receivables and other current assets</t>
  </si>
  <si>
    <t>Derivative financial instruments</t>
  </si>
  <si>
    <t>Financial assets at FVTPL (current)</t>
  </si>
  <si>
    <t>Assets of disposal group held for sale</t>
  </si>
  <si>
    <t>Cash at bank and on hand</t>
  </si>
  <si>
    <t>Total current assets</t>
  </si>
  <si>
    <t>TOTAL ASSETS</t>
  </si>
  <si>
    <t>EQUITY</t>
  </si>
  <si>
    <t>Share capital</t>
  </si>
  <si>
    <t>Share premium</t>
  </si>
  <si>
    <t>Treasury shares</t>
  </si>
  <si>
    <t>Other reserves</t>
  </si>
  <si>
    <t>Retained earnings</t>
  </si>
  <si>
    <t>Equity attributable to owners of parent</t>
  </si>
  <si>
    <t>Total equity</t>
  </si>
  <si>
    <t>NON-CURRENT LIABILITIES</t>
  </si>
  <si>
    <t>Borrowings</t>
  </si>
  <si>
    <t>Lease liabilities</t>
  </si>
  <si>
    <t>Deferred income tax liabilities</t>
  </si>
  <si>
    <t>Employee benefit obligations</t>
  </si>
  <si>
    <t>Provisions</t>
  </si>
  <si>
    <t>Other long-term financial liabilities</t>
  </si>
  <si>
    <t>Total non-current liabilities</t>
  </si>
  <si>
    <t>CURRENT LIABILITIES</t>
  </si>
  <si>
    <t>Trade payables and other current liabilities</t>
  </si>
  <si>
    <t>Current income tax liabilities</t>
  </si>
  <si>
    <t>Borrowings (current)</t>
  </si>
  <si>
    <t>Lease liabilities (current)</t>
  </si>
  <si>
    <t>Derivative financial instruments (current)</t>
  </si>
  <si>
    <t>Provisions (current)</t>
  </si>
  <si>
    <t>Liabilities of disposal group held for sale</t>
  </si>
  <si>
    <t>Bank overdraft</t>
  </si>
  <si>
    <t>Total current liabilities</t>
  </si>
  <si>
    <t>Total liabilities</t>
  </si>
  <si>
    <t>TOTAL EQUITY AND LIABILITIES</t>
  </si>
  <si>
    <t>Source: Richemont Annual Reports FY2023 (p.78) and FY2025 (p.82). FY2022 re-presented.</t>
  </si>
  <si>
    <t>Richemont – Consolidated Statement of Cash Flows</t>
  </si>
  <si>
    <t>OPERATING ACTIVITIES</t>
  </si>
  <si>
    <t>Operating profit from continuing operations</t>
  </si>
  <si>
    <t>Operating loss from discontinued operations</t>
  </si>
  <si>
    <t>Adjustment for non-cash items</t>
  </si>
  <si>
    <t>Changes in working capital</t>
  </si>
  <si>
    <t>Cash flow generated from operations</t>
  </si>
  <si>
    <t>Interest received</t>
  </si>
  <si>
    <t>Interest paid</t>
  </si>
  <si>
    <t>Dividends from equity-accounted investments</t>
  </si>
  <si>
    <t>Income from other investments</t>
  </si>
  <si>
    <t>Taxation paid</t>
  </si>
  <si>
    <t>Net cash generated from operating activities</t>
  </si>
  <si>
    <t>INVESTING ACTIVITIES</t>
  </si>
  <si>
    <t>Acquisition of subsidiaries, net of cash</t>
  </si>
  <si>
    <t>Proceeds from disposal of subsidiaries, net of cash</t>
  </si>
  <si>
    <t>Contribution to / (acquisition of) equity-accounted investments</t>
  </si>
  <si>
    <t>Proceeds from disposal of equity-accounted investments</t>
  </si>
  <si>
    <t>Acquisition of property, plant and equipment</t>
  </si>
  <si>
    <t>Proceeds from disposal of property, plant and equipment</t>
  </si>
  <si>
    <t>Payments capitalised as right of use assets</t>
  </si>
  <si>
    <t>Acquisition of intangible assets</t>
  </si>
  <si>
    <t>Proceeds from disposal of intangible assets</t>
  </si>
  <si>
    <t>Acquisition of investment property</t>
  </si>
  <si>
    <t>Proceeds from disposal of investment property</t>
  </si>
  <si>
    <t>Investment in money market / managed funds</t>
  </si>
  <si>
    <t>Proceeds from disposal of money market / managed funds</t>
  </si>
  <si>
    <t>Acquisition of other non-current assets and investments</t>
  </si>
  <si>
    <t>Proceeds from disposal of other non-current assets</t>
  </si>
  <si>
    <t>Net cash used in investing activities</t>
  </si>
  <si>
    <t>FINANCING ACTIVITIES</t>
  </si>
  <si>
    <t>Issue of share capital</t>
  </si>
  <si>
    <t>Costs of issue of share capital</t>
  </si>
  <si>
    <t>Proceeds from borrowings</t>
  </si>
  <si>
    <t>Repayment of borrowings</t>
  </si>
  <si>
    <t>Dividends paid to owners of the parent company</t>
  </si>
  <si>
    <t>Dividends paid to non-controlling interests</t>
  </si>
  <si>
    <t>Acquisition of treasury shares</t>
  </si>
  <si>
    <t>Proceeds from sale of treasury shares</t>
  </si>
  <si>
    <t>Acquisition of warrants on own equity</t>
  </si>
  <si>
    <t>Contribution from / (acquisition of) non-controlling interests</t>
  </si>
  <si>
    <t>Lease payments – principal</t>
  </si>
  <si>
    <t>Net cash used in financing activities</t>
  </si>
  <si>
    <t>Net change in cash and cash equivalents</t>
  </si>
  <si>
    <t>Cash and cash equivalents at beginning of year</t>
  </si>
  <si>
    <t>Exchange gains/(losses) on cash and cash equivalents</t>
  </si>
  <si>
    <t>Cash and cash equivalents at end of year</t>
  </si>
  <si>
    <t>Source: Richemont Annual Reports FY2023 (p.82) and FY2025 (p.86). FY2022 re-presented per IFRS. YNAP included in discontinued operations.</t>
  </si>
  <si>
    <t>Source: ECB, German Bund 10yr yield ~3% (Mar 2025)</t>
  </si>
  <si>
    <t>Source: Richemont bond yields (Bloomberg Mar 2025)</t>
  </si>
  <si>
    <t>Equity Risk Premium</t>
  </si>
  <si>
    <t>Projection →</t>
  </si>
  <si>
    <t xml:space="preserve"> Historical →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</si>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</sst>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yyyy"/>
    <numFmt numFmtId="165" formatCode="#,##0;\(#,##0\);\-"/>
    <numFmt numFmtId="166" formatCode="#,##0_);\(#,##0\);&quot;--&quot;_)"/>
    <numFmt numFmtId="167" formatCode="yyyy\A"/>
    <numFmt numFmtId="168" formatCode="yyyy\E"/>
    <numFmt numFmtId="169" formatCode="0.0%;\(0.0%\);\-"/>
    <numFmt numFmtId="170" formatCode="0.0%"/>
    <numFmt numFmtId="171" formatCode="0.0"/>
    <numFmt numFmtId="172" formatCode="0.0\x"/>
  </numFmts>
  <fonts count="23" x14ac:knownFonts="1">
    <font>
      <sz val="11"/>
      <color theme="1"/>
      <name val="Calibri"/>
      <charset val="1"/>
    </font>
    <font>
      <sz val="11"/>
      <color theme="1"/>
      <name val="Calibri"/>
      <family val="2"/>
      <charset val="1"/>
    </font>
    <font>
      <sz val="11"/>
      <color theme="0"/>
      <name val="Calibri"/>
      <charset val="1"/>
    </font>
    <font>
      <b/>
      <sz val="8"/>
      <color rgb="FF4472C4"/>
      <name val="Arial"/>
      <charset val="1"/>
    </font>
    <font>
      <b/>
      <sz val="8"/>
      <color rgb="FF70AD47"/>
      <name val="Arial"/>
      <charset val="1"/>
    </font>
    <font>
      <b/>
      <sz val="10"/>
      <color rgb="FFFFFFFF"/>
      <name val="Arial"/>
      <charset val="1"/>
    </font>
    <font>
      <sz val="10"/>
      <color rgb="FF0000FF"/>
      <name val="Arial"/>
      <charset val="1"/>
    </font>
    <font>
      <sz val="10"/>
      <color rgb="FF000000"/>
      <name val="Arial"/>
      <charset val="1"/>
    </font>
    <font>
      <b/>
      <sz val="11"/>
      <color theme="1"/>
      <name val="Calibri"/>
      <charset val="1"/>
    </font>
    <font>
      <b/>
      <sz val="10"/>
      <color rgb="FF0000FF"/>
      <name val="Arial"/>
      <charset val="1"/>
    </font>
    <font>
      <b/>
      <sz val="10"/>
      <color rgb="FF000000"/>
      <name val="Arial"/>
      <charset val="1"/>
    </font>
    <font>
      <sz val="10"/>
      <color rgb="FF008000"/>
      <name val="Arial"/>
      <charset val="1"/>
    </font>
    <font>
      <sz val="11"/>
      <color rgb="FF008000"/>
      <name val="Cambria"/>
      <charset val="1"/>
    </font>
    <font>
      <sz val="11"/>
      <color rgb="FF0000FF"/>
      <name val="Calibri"/>
      <charset val="1"/>
    </font>
    <font>
      <sz val="11"/>
      <color rgb="FF0000FF"/>
      <name val="Cambria"/>
      <charset val="1"/>
    </font>
    <font>
      <i/>
      <sz val="8"/>
      <color rgb="FF808080"/>
      <name val="Cambria"/>
      <charset val="1"/>
    </font>
    <font>
      <b/>
      <sz val="10"/>
      <color rgb="FF1F4E79"/>
      <name val="Arial"/>
      <charset val="1"/>
    </font>
    <font>
      <sz val="10"/>
      <name val="Arial"/>
      <family val="2"/>
    </font>
    <font>
      <i/>
      <sz val="8"/>
      <color rgb="FF595959"/>
      <name val="Arial"/>
      <charset val="1"/>
    </font>
    <font>
      <i/>
      <sz val="8"/>
      <color rgb="FF808080"/>
      <name val="Arial"/>
      <charset val="1"/>
    </font>
    <font>
      <b/>
      <sz val="12"/>
      <color rgb="FF000000"/>
      <name val="Arial"/>
      <charset val="1"/>
    </font>
    <font>
      <i/>
      <sz val="9"/>
      <color rgb="FF444444"/>
      <name val="Arial"/>
      <charset val="1"/>
    </font>
    <font>
      <i/>
      <sz val="8"/>
      <color rgb="FF666666"/>
      <name val="Arial"/>
      <charset val="1"/>
    </font>
  </fonts>
  <fills count="13">
    <fill>
      <patternFill patternType="none"/>
    </fill>
    <fill>
      <patternFill patternType="gray125"/>
    </fill>
    <fill>
      <patternFill patternType="solid">
        <fgColor rgb="FF2A3E68"/>
        <bgColor rgb="FF1F3864"/>
      </patternFill>
    </fill>
    <fill>
      <patternFill patternType="solid">
        <fgColor rgb="FFD9E2F3"/>
        <bgColor rgb="FFD6E4F0"/>
      </patternFill>
    </fill>
    <fill>
      <patternFill patternType="solid">
        <fgColor rgb="FF4472C4"/>
        <bgColor rgb="FF2E75B6"/>
      </patternFill>
    </fill>
    <fill>
      <patternFill patternType="solid">
        <fgColor rgb="FF70AD47"/>
        <bgColor rgb="FF339966"/>
      </patternFill>
    </fill>
    <fill>
      <patternFill patternType="solid">
        <fgColor theme="7" tint="-0.249977111117893"/>
        <bgColor rgb="FF808000"/>
      </patternFill>
    </fill>
    <fill>
      <patternFill patternType="solid">
        <fgColor rgb="FFFFFF99"/>
        <bgColor rgb="FFFFF2CC"/>
      </patternFill>
    </fill>
    <fill>
      <patternFill patternType="solid">
        <fgColor rgb="FFFFF2CC"/>
        <bgColor rgb="FFE7E6E6"/>
      </patternFill>
    </fill>
    <fill>
      <patternFill patternType="solid">
        <fgColor rgb="FFE7E6E6"/>
        <bgColor rgb="FFD9E2F3"/>
      </patternFill>
    </fill>
    <fill>
      <patternFill patternType="solid">
        <fgColor rgb="FFD6E4F0"/>
        <bgColor rgb="FFD9E2F3"/>
      </patternFill>
    </fill>
    <fill>
      <patternFill patternType="solid">
        <fgColor rgb="FF1F3864"/>
        <bgColor rgb="FF2A3E68"/>
      </patternFill>
    </fill>
    <fill>
      <patternFill patternType="solid">
        <fgColor rgb="FFBDD7EE"/>
        <bgColor rgb="FFD6E4F0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1" fillId="0" borderId="0" xfId="0" applyFont="1"/>
    <xf numFmtId="0" fontId="22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3" borderId="1" xfId="0" applyFill="1" applyBorder="1"/>
    <xf numFmtId="164" fontId="5" fillId="4" borderId="1" xfId="0" applyNumberFormat="1" applyFont="1" applyFill="1" applyBorder="1" applyAlignment="1">
      <alignment horizontal="center"/>
    </xf>
    <xf numFmtId="164" fontId="5" fillId="5" borderId="1" xfId="0" applyNumberFormat="1" applyFont="1" applyFill="1" applyBorder="1" applyAlignment="1">
      <alignment horizontal="center"/>
    </xf>
    <xf numFmtId="165" fontId="6" fillId="0" borderId="0" xfId="0" applyNumberFormat="1" applyFont="1"/>
    <xf numFmtId="165" fontId="7" fillId="0" borderId="0" xfId="0" applyNumberFormat="1" applyFont="1"/>
    <xf numFmtId="0" fontId="0" fillId="0" borderId="1" xfId="0" applyBorder="1"/>
    <xf numFmtId="165" fontId="6" fillId="0" borderId="1" xfId="0" applyNumberFormat="1" applyFont="1" applyBorder="1"/>
    <xf numFmtId="165" fontId="7" fillId="0" borderId="1" xfId="0" applyNumberFormat="1" applyFont="1" applyBorder="1"/>
    <xf numFmtId="0" fontId="8" fillId="0" borderId="0" xfId="0" applyFont="1"/>
    <xf numFmtId="165" fontId="9" fillId="0" borderId="0" xfId="0" applyNumberFormat="1" applyFont="1"/>
    <xf numFmtId="165" fontId="10" fillId="0" borderId="0" xfId="0" applyNumberFormat="1" applyFont="1"/>
    <xf numFmtId="166" fontId="0" fillId="0" borderId="0" xfId="0" applyNumberFormat="1"/>
    <xf numFmtId="0" fontId="0" fillId="6" borderId="0" xfId="0" applyFill="1"/>
    <xf numFmtId="0" fontId="0" fillId="0" borderId="0" xfId="0" applyAlignment="1">
      <alignment horizontal="left"/>
    </xf>
    <xf numFmtId="0" fontId="8" fillId="7" borderId="2" xfId="0" applyFont="1" applyFill="1" applyBorder="1"/>
    <xf numFmtId="165" fontId="9" fillId="8" borderId="2" xfId="0" applyNumberFormat="1" applyFont="1" applyFill="1" applyBorder="1"/>
    <xf numFmtId="165" fontId="10" fillId="8" borderId="2" xfId="0" applyNumberFormat="1" applyFont="1" applyFill="1" applyBorder="1"/>
    <xf numFmtId="167" fontId="0" fillId="3" borderId="1" xfId="0" applyNumberFormat="1" applyFill="1" applyBorder="1"/>
    <xf numFmtId="168" fontId="0" fillId="3" borderId="1" xfId="0" applyNumberFormat="1" applyFill="1" applyBorder="1"/>
    <xf numFmtId="0" fontId="0" fillId="9" borderId="0" xfId="0" applyFill="1"/>
    <xf numFmtId="169" fontId="6" fillId="9" borderId="0" xfId="0" applyNumberFormat="1" applyFont="1" applyFill="1"/>
    <xf numFmtId="169" fontId="7" fillId="9" borderId="0" xfId="0" applyNumberFormat="1" applyFont="1" applyFill="1"/>
    <xf numFmtId="0" fontId="10" fillId="0" borderId="0" xfId="0" applyFont="1"/>
    <xf numFmtId="169" fontId="11" fillId="0" borderId="0" xfId="0" applyNumberFormat="1" applyFont="1"/>
    <xf numFmtId="169" fontId="6" fillId="0" borderId="0" xfId="0" applyNumberFormat="1" applyFont="1"/>
    <xf numFmtId="0" fontId="7" fillId="0" borderId="0" xfId="0" applyFont="1"/>
    <xf numFmtId="170" fontId="7" fillId="0" borderId="0" xfId="0" applyNumberFormat="1" applyFont="1"/>
    <xf numFmtId="3" fontId="0" fillId="0" borderId="0" xfId="0" applyNumberFormat="1"/>
    <xf numFmtId="165" fontId="11" fillId="0" borderId="0" xfId="0" applyNumberFormat="1" applyFont="1"/>
    <xf numFmtId="0" fontId="8" fillId="0" borderId="2" xfId="0" applyFont="1" applyBorder="1"/>
    <xf numFmtId="3" fontId="8" fillId="0" borderId="2" xfId="0" applyNumberFormat="1" applyFont="1" applyBorder="1"/>
    <xf numFmtId="169" fontId="11" fillId="9" borderId="0" xfId="0" applyNumberFormat="1" applyFont="1" applyFill="1"/>
    <xf numFmtId="170" fontId="0" fillId="0" borderId="0" xfId="0" applyNumberFormat="1"/>
    <xf numFmtId="3" fontId="12" fillId="0" borderId="0" xfId="0" applyNumberFormat="1" applyFont="1"/>
    <xf numFmtId="3" fontId="0" fillId="9" borderId="0" xfId="0" applyNumberFormat="1" applyFill="1"/>
    <xf numFmtId="171" fontId="0" fillId="9" borderId="0" xfId="0" applyNumberFormat="1" applyFill="1"/>
    <xf numFmtId="170" fontId="0" fillId="9" borderId="0" xfId="0" applyNumberFormat="1" applyFill="1"/>
    <xf numFmtId="9" fontId="13" fillId="0" borderId="0" xfId="0" applyNumberFormat="1" applyFont="1"/>
    <xf numFmtId="4" fontId="0" fillId="0" borderId="0" xfId="0" applyNumberFormat="1"/>
    <xf numFmtId="10" fontId="0" fillId="3" borderId="0" xfId="0" applyNumberFormat="1" applyFill="1"/>
    <xf numFmtId="4" fontId="0" fillId="3" borderId="0" xfId="0" applyNumberFormat="1" applyFill="1"/>
    <xf numFmtId="4" fontId="2" fillId="2" borderId="0" xfId="0" applyNumberFormat="1" applyFont="1" applyFill="1"/>
    <xf numFmtId="0" fontId="0" fillId="0" borderId="2" xfId="0" applyBorder="1"/>
    <xf numFmtId="3" fontId="0" fillId="0" borderId="2" xfId="0" applyNumberFormat="1" applyBorder="1"/>
    <xf numFmtId="2" fontId="14" fillId="0" borderId="0" xfId="0" applyNumberFormat="1" applyFont="1"/>
    <xf numFmtId="0" fontId="15" fillId="0" borderId="0" xfId="0" applyFont="1"/>
    <xf numFmtId="4" fontId="8" fillId="7" borderId="2" xfId="0" applyNumberFormat="1" applyFont="1" applyFill="1" applyBorder="1"/>
    <xf numFmtId="0" fontId="7" fillId="0" borderId="0" xfId="0" applyFont="1" applyAlignment="1">
      <alignment horizontal="left" vertical="center"/>
    </xf>
    <xf numFmtId="172" fontId="7" fillId="0" borderId="0" xfId="0" applyNumberFormat="1" applyFont="1"/>
    <xf numFmtId="3" fontId="13" fillId="0" borderId="0" xfId="0" applyNumberFormat="1" applyFont="1"/>
    <xf numFmtId="10" fontId="6" fillId="0" borderId="0" xfId="0" applyNumberFormat="1" applyFont="1"/>
    <xf numFmtId="0" fontId="18" fillId="0" borderId="0" xfId="0" applyFont="1"/>
    <xf numFmtId="170" fontId="7" fillId="0" borderId="2" xfId="0" applyNumberFormat="1" applyFont="1" applyBorder="1"/>
    <xf numFmtId="170" fontId="8" fillId="0" borderId="0" xfId="0" applyNumberFormat="1" applyFont="1"/>
    <xf numFmtId="170" fontId="6" fillId="0" borderId="0" xfId="0" applyNumberFormat="1" applyFont="1"/>
    <xf numFmtId="2" fontId="6" fillId="0" borderId="0" xfId="0" applyNumberFormat="1" applyFont="1"/>
    <xf numFmtId="170" fontId="7" fillId="7" borderId="2" xfId="0" applyNumberFormat="1" applyFont="1" applyFill="1" applyBorder="1"/>
    <xf numFmtId="0" fontId="19" fillId="0" borderId="0" xfId="0" applyFont="1"/>
    <xf numFmtId="10" fontId="11" fillId="0" borderId="0" xfId="0" applyNumberFormat="1" applyFont="1"/>
    <xf numFmtId="10" fontId="10" fillId="8" borderId="0" xfId="0" applyNumberFormat="1" applyFont="1" applyFill="1"/>
    <xf numFmtId="0" fontId="5" fillId="11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165" fontId="10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 indent="1"/>
    </xf>
    <xf numFmtId="165" fontId="6" fillId="0" borderId="0" xfId="0" applyNumberFormat="1" applyFont="1" applyAlignment="1">
      <alignment horizontal="right" vertical="center"/>
    </xf>
    <xf numFmtId="165" fontId="10" fillId="12" borderId="2" xfId="0" applyNumberFormat="1" applyFont="1" applyFill="1" applyBorder="1" applyAlignment="1">
      <alignment horizontal="right" vertical="center"/>
    </xf>
    <xf numFmtId="0" fontId="10" fillId="10" borderId="0" xfId="0" applyFont="1" applyFill="1" applyAlignment="1">
      <alignment horizontal="left" vertical="center" indent="1"/>
    </xf>
    <xf numFmtId="0" fontId="10" fillId="1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indent="3"/>
    </xf>
    <xf numFmtId="0" fontId="10" fillId="0" borderId="0" xfId="0" applyFont="1" applyAlignment="1">
      <alignment horizontal="left" vertical="center" indent="3"/>
    </xf>
    <xf numFmtId="169" fontId="6" fillId="0" borderId="0" xfId="0" applyNumberFormat="1" applyFont="1" applyAlignment="1">
      <alignment horizontal="right" vertical="center"/>
    </xf>
    <xf numFmtId="165" fontId="1" fillId="0" borderId="0" xfId="0" applyNumberFormat="1" applyFont="1"/>
    <xf numFmtId="165" fontId="14" fillId="0" borderId="0" xfId="0" applyNumberFormat="1" applyFont="1" applyAlignment="1">
      <alignment horizontal="right" vertical="center"/>
    </xf>
    <xf numFmtId="10" fontId="0" fillId="0" borderId="0" xfId="0" applyNumberForma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textRotation="90"/>
    </xf>
    <xf numFmtId="0" fontId="16" fillId="10" borderId="0" xfId="0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0" borderId="0" xfId="0" applyFont="1"/>
    <xf numFmtId="0" fontId="22" fillId="0" borderId="0" xfId="0" applyFont="1"/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F4E79"/>
      <rgbColor rgb="FFD9E2F3"/>
      <rgbColor rgb="FF808080"/>
      <rgbColor rgb="FF9999FF"/>
      <rgbColor rgb="FF595959"/>
      <rgbColor rgb="FFFFF2CC"/>
      <rgbColor rgb="FFEAF4FB"/>
      <rgbColor rgb="FF660066"/>
      <rgbColor rgb="FFFF8080"/>
      <rgbColor rgb="FF2E75B6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7E6E6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BF9000"/>
      <rgbColor rgb="FFFF6600"/>
      <rgbColor rgb="FF666666"/>
      <rgbColor rgb="FF70AD47"/>
      <rgbColor rgb="FF1F3864"/>
      <rgbColor rgb="FF339966"/>
      <rgbColor rgb="FF003300"/>
      <rgbColor rgb="FF333300"/>
      <rgbColor rgb="FF993300"/>
      <rgbColor rgb="FF993366"/>
      <rgbColor rgb="FF2A3E68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001"/>
  <sheetViews>
    <sheetView showGridLines="0" topLeftCell="B1" zoomScale="93" zoomScaleNormal="93" workbookViewId="0">
      <selection activeCell="K2" sqref="K2"/>
    </sheetView>
  </sheetViews>
  <sheetFormatPr defaultColWidth="14.3984375" defaultRowHeight="14.25" x14ac:dyDescent="0.45"/>
  <cols>
    <col min="1" max="1" width="3" customWidth="1"/>
    <col min="2" max="2" width="38" customWidth="1"/>
    <col min="3" max="10" width="14" customWidth="1"/>
    <col min="11" max="26" width="8.86328125" customWidth="1"/>
  </cols>
  <sheetData>
    <row r="1" spans="2:10" ht="14.25" customHeight="1" x14ac:dyDescent="0.45"/>
    <row r="2" spans="2:10" ht="14.25" customHeight="1" x14ac:dyDescent="0.45">
      <c r="B2" s="3" t="s">
        <v>0</v>
      </c>
      <c r="C2" s="4" t="s">
        <v>248</v>
      </c>
      <c r="D2" s="3"/>
      <c r="E2" s="3"/>
      <c r="F2" s="5" t="s">
        <v>247</v>
      </c>
      <c r="G2" s="3"/>
      <c r="H2" s="3"/>
      <c r="I2" s="3"/>
      <c r="J2" s="3"/>
    </row>
    <row r="3" spans="2:10" ht="14.25" customHeight="1" x14ac:dyDescent="0.45">
      <c r="B3" s="6" t="s">
        <v>1</v>
      </c>
      <c r="C3" s="7">
        <v>45291</v>
      </c>
      <c r="D3" s="7">
        <v>45657</v>
      </c>
      <c r="E3" s="7">
        <v>46022</v>
      </c>
      <c r="F3" s="8">
        <v>46387</v>
      </c>
      <c r="G3" s="8">
        <v>46752</v>
      </c>
      <c r="H3" s="8">
        <v>47118</v>
      </c>
      <c r="I3" s="8">
        <v>47483</v>
      </c>
      <c r="J3" s="8">
        <v>47848</v>
      </c>
    </row>
    <row r="4" spans="2:10" ht="14.25" customHeight="1" x14ac:dyDescent="0.45">
      <c r="B4" t="s">
        <v>2</v>
      </c>
      <c r="C4" s="9">
        <f>'Income Statement'!C5</f>
        <v>19953</v>
      </c>
      <c r="D4" s="9">
        <f>'Income Statement'!D5</f>
        <v>20616</v>
      </c>
      <c r="E4" s="9">
        <f>'Income Statement'!E5</f>
        <v>21399</v>
      </c>
      <c r="F4" s="10">
        <f>E4*(1+F25)</f>
        <v>22468.95</v>
      </c>
      <c r="G4" s="10">
        <f>F4*(1+G25)</f>
        <v>23367.708000000002</v>
      </c>
      <c r="H4" s="10">
        <f>G4*(1+H25)</f>
        <v>24185.57778</v>
      </c>
      <c r="I4" s="10">
        <f>H4*(1+I25)</f>
        <v>24911.145113400002</v>
      </c>
      <c r="J4" s="10">
        <f>I4*(1+J25)</f>
        <v>25533.923741235001</v>
      </c>
    </row>
    <row r="5" spans="2:10" ht="14.25" customHeight="1" x14ac:dyDescent="0.45">
      <c r="B5" s="11" t="s">
        <v>3</v>
      </c>
      <c r="C5" s="12">
        <f>-'Income Statement'!C6</f>
        <v>6237</v>
      </c>
      <c r="D5" s="12">
        <f>-'Income Statement'!D6</f>
        <v>6580</v>
      </c>
      <c r="E5" s="12">
        <f>-'Income Statement'!E6</f>
        <v>7080</v>
      </c>
      <c r="F5" s="13">
        <f>F27*F4</f>
        <v>7209.6174753584191</v>
      </c>
      <c r="G5" s="13">
        <f>G27*G4</f>
        <v>7498.0021743727566</v>
      </c>
      <c r="H5" s="13">
        <f>H27*H4</f>
        <v>7760.432250475802</v>
      </c>
      <c r="I5" s="13">
        <f>I27*I4</f>
        <v>7993.2452179900774</v>
      </c>
      <c r="J5" s="13">
        <f>J27*J4</f>
        <v>8193.0763484398285</v>
      </c>
    </row>
    <row r="6" spans="2:10" ht="14.25" customHeight="1" x14ac:dyDescent="0.45">
      <c r="B6" s="14" t="s">
        <v>4</v>
      </c>
      <c r="C6" s="15">
        <f t="shared" ref="C6:J6" si="0">C4-C5</f>
        <v>13716</v>
      </c>
      <c r="D6" s="15">
        <f t="shared" si="0"/>
        <v>14036</v>
      </c>
      <c r="E6" s="15">
        <f t="shared" si="0"/>
        <v>14319</v>
      </c>
      <c r="F6" s="16">
        <f t="shared" si="0"/>
        <v>15259.332524641581</v>
      </c>
      <c r="G6" s="16">
        <f t="shared" si="0"/>
        <v>15869.705825627247</v>
      </c>
      <c r="H6" s="16">
        <f t="shared" si="0"/>
        <v>16425.145529524198</v>
      </c>
      <c r="I6" s="16">
        <f t="shared" si="0"/>
        <v>16917.899895409922</v>
      </c>
      <c r="J6" s="16">
        <f t="shared" si="0"/>
        <v>17340.847392795171</v>
      </c>
    </row>
    <row r="7" spans="2:10" ht="14.25" customHeight="1" x14ac:dyDescent="0.45">
      <c r="C7" s="17"/>
      <c r="D7" s="17"/>
      <c r="E7" s="17"/>
      <c r="F7" s="17"/>
      <c r="G7" s="17"/>
      <c r="H7" s="17"/>
      <c r="I7" s="17"/>
      <c r="J7" s="17"/>
    </row>
    <row r="8" spans="2:10" ht="14.25" customHeight="1" x14ac:dyDescent="0.45">
      <c r="B8" t="s">
        <v>5</v>
      </c>
      <c r="C8" s="9">
        <f>-'Income Statement'!C54</f>
        <v>7212</v>
      </c>
      <c r="D8" s="9">
        <f>-'Income Statement'!D54</f>
        <v>7810</v>
      </c>
      <c r="E8" s="9">
        <f>-'Income Statement'!E54</f>
        <v>8292</v>
      </c>
      <c r="F8" s="10">
        <f>F4*F28</f>
        <v>8293.9580246415826</v>
      </c>
      <c r="G8" s="10">
        <f>G4*G28</f>
        <v>8508.8778056272458</v>
      </c>
      <c r="H8" s="10">
        <f>H4*H28</f>
        <v>8685.7606399241977</v>
      </c>
      <c r="I8" s="10">
        <f>I4*I28</f>
        <v>8821.7777335549254</v>
      </c>
      <c r="J8" s="10">
        <f>J4*J28</f>
        <v>9042.3221768937983</v>
      </c>
    </row>
    <row r="9" spans="2:10" ht="14.25" customHeight="1" x14ac:dyDescent="0.45">
      <c r="B9" s="11" t="s">
        <v>6</v>
      </c>
      <c r="C9" s="12">
        <f t="shared" ref="C9:J9" si="1">SUM(C7:C8)</f>
        <v>7212</v>
      </c>
      <c r="D9" s="12">
        <f t="shared" si="1"/>
        <v>7810</v>
      </c>
      <c r="E9" s="12">
        <f t="shared" si="1"/>
        <v>8292</v>
      </c>
      <c r="F9" s="13">
        <f t="shared" si="1"/>
        <v>8293.9580246415826</v>
      </c>
      <c r="G9" s="13">
        <f t="shared" si="1"/>
        <v>8508.8778056272458</v>
      </c>
      <c r="H9" s="13">
        <f t="shared" si="1"/>
        <v>8685.7606399241977</v>
      </c>
      <c r="I9" s="13">
        <f t="shared" si="1"/>
        <v>8821.7777335549254</v>
      </c>
      <c r="J9" s="13">
        <f t="shared" si="1"/>
        <v>9042.3221768937983</v>
      </c>
    </row>
    <row r="10" spans="2:10" ht="14.25" customHeight="1" x14ac:dyDescent="0.45">
      <c r="B10" s="14" t="s">
        <v>7</v>
      </c>
      <c r="C10" s="15">
        <f t="shared" ref="C10:J10" si="2">C6-C9</f>
        <v>6504</v>
      </c>
      <c r="D10" s="15">
        <f t="shared" si="2"/>
        <v>6226</v>
      </c>
      <c r="E10" s="15">
        <f t="shared" si="2"/>
        <v>6027</v>
      </c>
      <c r="F10" s="16">
        <f t="shared" si="2"/>
        <v>6965.3744999999981</v>
      </c>
      <c r="G10" s="16">
        <f t="shared" si="2"/>
        <v>7360.8280200000008</v>
      </c>
      <c r="H10" s="16">
        <f t="shared" si="2"/>
        <v>7739.3848896</v>
      </c>
      <c r="I10" s="16">
        <f t="shared" si="2"/>
        <v>8096.1221618549971</v>
      </c>
      <c r="J10" s="16">
        <f t="shared" si="2"/>
        <v>8298.5252159013726</v>
      </c>
    </row>
    <row r="11" spans="2:10" ht="14.25" customHeight="1" x14ac:dyDescent="0.45">
      <c r="B11" s="11" t="s">
        <v>8</v>
      </c>
      <c r="C11" s="12">
        <f>'Fixed Assets'!C5</f>
        <v>1473</v>
      </c>
      <c r="D11" s="12">
        <f>'Fixed Assets'!D5</f>
        <v>1432</v>
      </c>
      <c r="E11" s="12">
        <f>'Fixed Assets'!E5</f>
        <v>1560</v>
      </c>
      <c r="F11" s="13">
        <f>'Fixed Assets'!F5</f>
        <v>1619.1477468792057</v>
      </c>
      <c r="G11" s="13">
        <f>'Fixed Assets'!G5</f>
        <v>1683.913656754374</v>
      </c>
      <c r="H11" s="13">
        <f>'Fixed Assets'!H5</f>
        <v>1742.8506347407767</v>
      </c>
      <c r="I11" s="13">
        <f>'Fixed Assets'!I5</f>
        <v>1795.1361537830003</v>
      </c>
      <c r="J11" s="13">
        <f>'Fixed Assets'!J5</f>
        <v>1840.0145576275752</v>
      </c>
    </row>
    <row r="12" spans="2:10" ht="14.25" customHeight="1" x14ac:dyDescent="0.45">
      <c r="B12" s="14" t="s">
        <v>9</v>
      </c>
      <c r="C12" s="15">
        <f t="shared" ref="C12:J12" si="3">C10-C11</f>
        <v>5031</v>
      </c>
      <c r="D12" s="15">
        <f t="shared" si="3"/>
        <v>4794</v>
      </c>
      <c r="E12" s="15">
        <f t="shared" si="3"/>
        <v>4467</v>
      </c>
      <c r="F12" s="16">
        <f t="shared" si="3"/>
        <v>5346.2267531207926</v>
      </c>
      <c r="G12" s="16">
        <f t="shared" si="3"/>
        <v>5676.9143632456271</v>
      </c>
      <c r="H12" s="16">
        <f t="shared" si="3"/>
        <v>5996.5342548592234</v>
      </c>
      <c r="I12" s="16">
        <f t="shared" si="3"/>
        <v>6300.9860080719973</v>
      </c>
      <c r="J12" s="16">
        <f t="shared" si="3"/>
        <v>6458.5106582737972</v>
      </c>
    </row>
    <row r="13" spans="2:10" ht="14.25" customHeight="1" x14ac:dyDescent="0.45">
      <c r="B13" s="11" t="s">
        <v>10</v>
      </c>
      <c r="C13" s="12">
        <f>-'Income Statement'!C26</f>
        <v>847</v>
      </c>
      <c r="D13" s="12">
        <f>-'Income Statement'!D26</f>
        <v>837</v>
      </c>
      <c r="E13" s="12">
        <f>-'Income Statement'!E26</f>
        <v>727</v>
      </c>
      <c r="F13" s="13">
        <f>F12*F30</f>
        <v>901.19291736794582</v>
      </c>
      <c r="G13" s="13">
        <f>G12*G30</f>
        <v>956.93565815833074</v>
      </c>
      <c r="H13" s="13">
        <f>H12*H30</f>
        <v>1010.8127561328871</v>
      </c>
      <c r="I13" s="13">
        <f>I12*I30</f>
        <v>1062.1330192540586</v>
      </c>
      <c r="J13" s="13">
        <f>J12*J30</f>
        <v>1088.6863447354101</v>
      </c>
    </row>
    <row r="14" spans="2:10" ht="14.25" customHeight="1" x14ac:dyDescent="0.45">
      <c r="B14" s="14" t="s">
        <v>11</v>
      </c>
      <c r="C14" s="15">
        <f t="shared" ref="C14:J14" si="4">C12-C13</f>
        <v>4184</v>
      </c>
      <c r="D14" s="15">
        <f t="shared" si="4"/>
        <v>3957</v>
      </c>
      <c r="E14" s="15">
        <f t="shared" si="4"/>
        <v>3740</v>
      </c>
      <c r="F14" s="16">
        <f t="shared" si="4"/>
        <v>4445.0338357528472</v>
      </c>
      <c r="G14" s="16">
        <f t="shared" si="4"/>
        <v>4719.9787050872965</v>
      </c>
      <c r="H14" s="16">
        <f t="shared" si="4"/>
        <v>4985.721498726336</v>
      </c>
      <c r="I14" s="16">
        <f t="shared" si="4"/>
        <v>5238.8529888179382</v>
      </c>
      <c r="J14" s="16">
        <f t="shared" si="4"/>
        <v>5369.8243135383873</v>
      </c>
    </row>
    <row r="15" spans="2:10" ht="14.25" customHeight="1" x14ac:dyDescent="0.45">
      <c r="B15" s="18" t="s">
        <v>12</v>
      </c>
      <c r="C15" s="9">
        <f t="shared" ref="C15:J15" si="5">C11</f>
        <v>1473</v>
      </c>
      <c r="D15" s="9">
        <f t="shared" si="5"/>
        <v>1432</v>
      </c>
      <c r="E15" s="9">
        <f t="shared" si="5"/>
        <v>1560</v>
      </c>
      <c r="F15" s="10">
        <f t="shared" si="5"/>
        <v>1619.1477468792057</v>
      </c>
      <c r="G15" s="10">
        <f t="shared" si="5"/>
        <v>1683.913656754374</v>
      </c>
      <c r="H15" s="10">
        <f t="shared" si="5"/>
        <v>1742.8506347407767</v>
      </c>
      <c r="I15" s="10">
        <f t="shared" si="5"/>
        <v>1795.1361537830003</v>
      </c>
      <c r="J15" s="10">
        <f t="shared" si="5"/>
        <v>1840.0145576275752</v>
      </c>
    </row>
    <row r="16" spans="2:10" ht="14.25" customHeight="1" x14ac:dyDescent="0.45">
      <c r="B16" t="s">
        <v>13</v>
      </c>
      <c r="C16" s="9">
        <f>'Fixed Assets'!C6</f>
        <v>984</v>
      </c>
      <c r="D16" s="9">
        <f>'Fixed Assets'!D6</f>
        <v>1021</v>
      </c>
      <c r="E16" s="9">
        <f>'Fixed Assets'!E6</f>
        <v>1367</v>
      </c>
      <c r="F16" s="10">
        <f>'Fixed Assets'!F6</f>
        <v>1218.7310009980818</v>
      </c>
      <c r="G16" s="10">
        <f>'Fixed Assets'!G6</f>
        <v>1267.4802410380053</v>
      </c>
      <c r="H16" s="10">
        <f>'Fixed Assets'!H6</f>
        <v>1311.8420494743352</v>
      </c>
      <c r="I16" s="10">
        <f>'Fixed Assets'!I6</f>
        <v>1351.1973109585654</v>
      </c>
      <c r="J16" s="10">
        <f>'Fixed Assets'!J6</f>
        <v>1384.9772437325296</v>
      </c>
    </row>
    <row r="17" spans="2:10" ht="14.25" customHeight="1" x14ac:dyDescent="0.45">
      <c r="B17" t="s">
        <v>14</v>
      </c>
      <c r="C17" s="9">
        <f>C18-('Net Working Capital'!C7-'Net Working Capital'!C12)</f>
        <v>434</v>
      </c>
      <c r="D17" s="9">
        <f t="shared" ref="D17:J17" si="6">D18-C18</f>
        <v>1082</v>
      </c>
      <c r="E17" s="9">
        <f t="shared" si="6"/>
        <v>521</v>
      </c>
      <c r="F17" s="10">
        <f t="shared" si="6"/>
        <v>-138.52030253049725</v>
      </c>
      <c r="G17" s="10">
        <f t="shared" si="6"/>
        <v>292.33918789877953</v>
      </c>
      <c r="H17" s="10">
        <f t="shared" si="6"/>
        <v>266.02866098788945</v>
      </c>
      <c r="I17" s="10">
        <f t="shared" si="6"/>
        <v>236.00542639068408</v>
      </c>
      <c r="J17" s="10">
        <f t="shared" si="6"/>
        <v>202.57132431867467</v>
      </c>
    </row>
    <row r="18" spans="2:10" ht="14.25" customHeight="1" x14ac:dyDescent="0.45">
      <c r="B18" s="19" t="s">
        <v>15</v>
      </c>
      <c r="C18" s="9">
        <f t="shared" ref="C18:J18" si="7">C19-C20</f>
        <v>5844</v>
      </c>
      <c r="D18" s="9">
        <f t="shared" si="7"/>
        <v>6926</v>
      </c>
      <c r="E18" s="9">
        <f t="shared" si="7"/>
        <v>7447</v>
      </c>
      <c r="F18" s="10">
        <f t="shared" si="7"/>
        <v>7308.4796974695028</v>
      </c>
      <c r="G18" s="10">
        <f t="shared" si="7"/>
        <v>7600.8188853682823</v>
      </c>
      <c r="H18" s="10">
        <f t="shared" si="7"/>
        <v>7866.8475463561717</v>
      </c>
      <c r="I18" s="10">
        <f t="shared" si="7"/>
        <v>8102.8529727468558</v>
      </c>
      <c r="J18" s="10">
        <f t="shared" si="7"/>
        <v>8305.4242970655305</v>
      </c>
    </row>
    <row r="19" spans="2:10" ht="14.25" customHeight="1" x14ac:dyDescent="0.45">
      <c r="B19" s="19" t="s">
        <v>16</v>
      </c>
      <c r="C19" s="9">
        <f>'Net Working Capital'!D7</f>
        <v>8804</v>
      </c>
      <c r="D19" s="9">
        <f>'Net Working Capital'!E7</f>
        <v>9890</v>
      </c>
      <c r="E19" s="9">
        <f>'Net Working Capital'!F7</f>
        <v>10526</v>
      </c>
      <c r="F19" s="10">
        <f>'Net Working Capital'!G7</f>
        <v>10576.671572953788</v>
      </c>
      <c r="G19" s="10">
        <f>'Net Working Capital'!H7</f>
        <v>10999.738435871939</v>
      </c>
      <c r="H19" s="10">
        <f>'Net Working Capital'!I7</f>
        <v>11384.729281127456</v>
      </c>
      <c r="I19" s="10">
        <f>'Net Working Capital'!J7</f>
        <v>11726.27115956128</v>
      </c>
      <c r="J19" s="10">
        <f>'Net Working Capital'!K7</f>
        <v>12019.427938550314</v>
      </c>
    </row>
    <row r="20" spans="2:10" ht="14.25" customHeight="1" x14ac:dyDescent="0.45">
      <c r="B20" s="19" t="s">
        <v>17</v>
      </c>
      <c r="C20" s="9">
        <f>'Net Working Capital'!D12</f>
        <v>2960</v>
      </c>
      <c r="D20" s="9">
        <f>'Net Working Capital'!E12</f>
        <v>2964</v>
      </c>
      <c r="E20" s="9">
        <f>'Net Working Capital'!F12</f>
        <v>3079</v>
      </c>
      <c r="F20" s="10">
        <f>'Net Working Capital'!G12</f>
        <v>3268.1918754842854</v>
      </c>
      <c r="G20" s="10">
        <f>'Net Working Capital'!H12</f>
        <v>3398.9195505036573</v>
      </c>
      <c r="H20" s="10">
        <f>'Net Working Capital'!I12</f>
        <v>3517.8817347712848</v>
      </c>
      <c r="I20" s="10">
        <f>'Net Working Capital'!J12</f>
        <v>3623.4181868144242</v>
      </c>
      <c r="J20" s="10">
        <f>'Net Working Capital'!K12</f>
        <v>3714.0036414847837</v>
      </c>
    </row>
    <row r="21" spans="2:10" ht="14.25" customHeight="1" x14ac:dyDescent="0.45">
      <c r="B21" s="20" t="s">
        <v>18</v>
      </c>
      <c r="C21" s="21">
        <f t="shared" ref="C21:J21" si="8">C14+C15-C16-C17</f>
        <v>4239</v>
      </c>
      <c r="D21" s="21">
        <f t="shared" si="8"/>
        <v>3286</v>
      </c>
      <c r="E21" s="21">
        <f t="shared" si="8"/>
        <v>3412</v>
      </c>
      <c r="F21" s="22">
        <f t="shared" si="8"/>
        <v>4983.9708841644679</v>
      </c>
      <c r="G21" s="22">
        <f t="shared" si="8"/>
        <v>4844.0729329048854</v>
      </c>
      <c r="H21" s="22">
        <f t="shared" si="8"/>
        <v>5150.7014230048881</v>
      </c>
      <c r="I21" s="22">
        <f t="shared" si="8"/>
        <v>5446.7864052516888</v>
      </c>
      <c r="J21" s="22">
        <f t="shared" si="8"/>
        <v>5622.290303114758</v>
      </c>
    </row>
    <row r="22" spans="2:10" ht="14.25" customHeight="1" x14ac:dyDescent="0.45"/>
    <row r="23" spans="2:10" ht="14.25" customHeight="1" x14ac:dyDescent="0.45">
      <c r="B23" s="3" t="s">
        <v>19</v>
      </c>
      <c r="C23" s="3"/>
      <c r="D23" s="3"/>
      <c r="E23" s="3"/>
      <c r="F23" s="3"/>
      <c r="G23" s="3"/>
      <c r="H23" s="3"/>
      <c r="I23" s="3"/>
      <c r="J23" s="3"/>
    </row>
    <row r="24" spans="2:10" ht="14.25" customHeight="1" x14ac:dyDescent="0.45">
      <c r="B24" s="6" t="str">
        <f t="shared" ref="B24:J24" si="9">B3</f>
        <v>Fiscal Year</v>
      </c>
      <c r="C24" s="23">
        <f t="shared" si="9"/>
        <v>45291</v>
      </c>
      <c r="D24" s="23">
        <f t="shared" si="9"/>
        <v>45657</v>
      </c>
      <c r="E24" s="23">
        <f t="shared" si="9"/>
        <v>46022</v>
      </c>
      <c r="F24" s="24">
        <f t="shared" si="9"/>
        <v>46387</v>
      </c>
      <c r="G24" s="24">
        <f t="shared" si="9"/>
        <v>46752</v>
      </c>
      <c r="H24" s="24">
        <f t="shared" si="9"/>
        <v>47118</v>
      </c>
      <c r="I24" s="24">
        <f t="shared" si="9"/>
        <v>47483</v>
      </c>
      <c r="J24" s="24">
        <f t="shared" si="9"/>
        <v>47848</v>
      </c>
    </row>
    <row r="25" spans="2:10" ht="14.25" customHeight="1" x14ac:dyDescent="0.45">
      <c r="B25" s="25" t="s">
        <v>20</v>
      </c>
      <c r="C25" s="25"/>
      <c r="D25" s="26">
        <f>D4/C4-1</f>
        <v>3.3228086002105028E-2</v>
      </c>
      <c r="E25" s="26">
        <f>E4/D4-1</f>
        <v>3.7980209545983801E-2</v>
      </c>
      <c r="F25" s="26">
        <v>0.05</v>
      </c>
      <c r="G25" s="26">
        <v>0.04</v>
      </c>
      <c r="H25" s="26">
        <v>3.5000000000000003E-2</v>
      </c>
      <c r="I25" s="26">
        <v>0.03</v>
      </c>
      <c r="J25" s="26">
        <v>2.5000000000000001E-2</v>
      </c>
    </row>
    <row r="26" spans="2:10" ht="14.25" customHeight="1" x14ac:dyDescent="0.45">
      <c r="B26" s="25"/>
      <c r="C26" s="25"/>
      <c r="D26" s="25"/>
      <c r="E26" s="25"/>
      <c r="F26" s="25"/>
      <c r="G26" s="25"/>
      <c r="H26" s="25"/>
      <c r="I26" s="25"/>
      <c r="J26" s="25"/>
    </row>
    <row r="27" spans="2:10" ht="14.25" customHeight="1" x14ac:dyDescent="0.45">
      <c r="B27" s="25" t="s">
        <v>21</v>
      </c>
      <c r="C27" s="26">
        <f>C5/C4</f>
        <v>0.3125845737483085</v>
      </c>
      <c r="D27" s="26">
        <f>D5/D4</f>
        <v>0.31916957702755144</v>
      </c>
      <c r="E27" s="26">
        <f>E5/E4</f>
        <v>0.3308565820832749</v>
      </c>
      <c r="F27" s="27">
        <f>AVERAGE(C27:E27)</f>
        <v>0.32087024428637828</v>
      </c>
      <c r="G27" s="27">
        <f>F27</f>
        <v>0.32087024428637828</v>
      </c>
      <c r="H27" s="27">
        <f>G27</f>
        <v>0.32087024428637828</v>
      </c>
      <c r="I27" s="27">
        <f>H27</f>
        <v>0.32087024428637828</v>
      </c>
      <c r="J27" s="27">
        <f>I27</f>
        <v>0.32087024428637828</v>
      </c>
    </row>
    <row r="28" spans="2:10" ht="14.25" customHeight="1" x14ac:dyDescent="0.45">
      <c r="B28" s="25" t="s">
        <v>22</v>
      </c>
      <c r="C28" s="26">
        <f>C8/C4</f>
        <v>0.36144940610434523</v>
      </c>
      <c r="D28" s="26">
        <f>D8/D4</f>
        <v>0.37883197516492045</v>
      </c>
      <c r="E28" s="26">
        <f>E8/E4</f>
        <v>0.38749474274498807</v>
      </c>
      <c r="F28" s="27">
        <f>1-F27-F31</f>
        <v>0.36912975571362178</v>
      </c>
      <c r="G28" s="27">
        <f>1-G27-G31</f>
        <v>0.36412975571362177</v>
      </c>
      <c r="H28" s="27">
        <f>1-H27-H31</f>
        <v>0.35912975571362177</v>
      </c>
      <c r="I28" s="27">
        <f>1-I27-I31</f>
        <v>0.35412975571362176</v>
      </c>
      <c r="J28" s="27">
        <f>1-J27-J31</f>
        <v>0.35412975571362176</v>
      </c>
    </row>
    <row r="29" spans="2:10" ht="14.25" customHeight="1" x14ac:dyDescent="0.45">
      <c r="B29" s="25" t="s">
        <v>23</v>
      </c>
      <c r="C29" s="26">
        <f>C7/C4</f>
        <v>0</v>
      </c>
      <c r="D29" s="26">
        <f>D7/D4</f>
        <v>0</v>
      </c>
      <c r="E29" s="26">
        <f>E7/E4</f>
        <v>0</v>
      </c>
      <c r="F29" s="27">
        <f>AVERAGE(C29:E29)</f>
        <v>0</v>
      </c>
      <c r="G29" s="27">
        <f t="shared" ref="G29:J30" si="10">F29</f>
        <v>0</v>
      </c>
      <c r="H29" s="27">
        <f t="shared" si="10"/>
        <v>0</v>
      </c>
      <c r="I29" s="27">
        <f t="shared" si="10"/>
        <v>0</v>
      </c>
      <c r="J29" s="27">
        <f t="shared" si="10"/>
        <v>0</v>
      </c>
    </row>
    <row r="30" spans="2:10" ht="14.25" customHeight="1" x14ac:dyDescent="0.45">
      <c r="B30" s="25" t="s">
        <v>24</v>
      </c>
      <c r="C30" s="26">
        <f>C13/C12</f>
        <v>0.16835619161200557</v>
      </c>
      <c r="D30" s="26">
        <f>D13/D12</f>
        <v>0.17459324155193992</v>
      </c>
      <c r="E30" s="26">
        <f>E13/E12</f>
        <v>0.16274904857846428</v>
      </c>
      <c r="F30" s="27">
        <f>AVERAGE(C30:E30)</f>
        <v>0.16856616058080323</v>
      </c>
      <c r="G30" s="27">
        <f t="shared" si="10"/>
        <v>0.16856616058080323</v>
      </c>
      <c r="H30" s="27">
        <f t="shared" si="10"/>
        <v>0.16856616058080323</v>
      </c>
      <c r="I30" s="27">
        <f t="shared" si="10"/>
        <v>0.16856616058080323</v>
      </c>
      <c r="J30" s="27">
        <f t="shared" si="10"/>
        <v>0.16856616058080323</v>
      </c>
    </row>
    <row r="31" spans="2:10" ht="14.25" customHeight="1" x14ac:dyDescent="0.45">
      <c r="B31" s="28" t="s">
        <v>25</v>
      </c>
      <c r="C31" s="29">
        <f>C10/C4</f>
        <v>0.32596602014734627</v>
      </c>
      <c r="D31" s="29">
        <f>D10/D4</f>
        <v>0.30199844780752816</v>
      </c>
      <c r="E31" s="29">
        <f>E10/E4</f>
        <v>0.28164867517173697</v>
      </c>
      <c r="F31" s="30">
        <v>0.31</v>
      </c>
      <c r="G31" s="30">
        <v>0.315</v>
      </c>
      <c r="H31" s="30">
        <v>0.32</v>
      </c>
      <c r="I31" s="30">
        <v>0.32500000000000001</v>
      </c>
      <c r="J31" s="30">
        <v>0.32500000000000001</v>
      </c>
    </row>
    <row r="32" spans="2:10" ht="14.25" customHeight="1" x14ac:dyDescent="0.45">
      <c r="B32" s="28" t="s">
        <v>26</v>
      </c>
    </row>
    <row r="33" spans="2:10" ht="14.25" customHeight="1" x14ac:dyDescent="0.45">
      <c r="B33" s="31" t="s">
        <v>27</v>
      </c>
      <c r="C33" s="32">
        <f t="shared" ref="C33:J33" si="11">C6/C4</f>
        <v>0.6874154262516915</v>
      </c>
      <c r="D33" s="32">
        <f t="shared" si="11"/>
        <v>0.68083042297244856</v>
      </c>
      <c r="E33" s="32">
        <f t="shared" si="11"/>
        <v>0.66914341791672505</v>
      </c>
      <c r="F33" s="32">
        <f t="shared" si="11"/>
        <v>0.67912975571362166</v>
      </c>
      <c r="G33" s="32">
        <f t="shared" si="11"/>
        <v>0.67912975571362177</v>
      </c>
      <c r="H33" s="32">
        <f t="shared" si="11"/>
        <v>0.67912975571362177</v>
      </c>
      <c r="I33" s="32">
        <f t="shared" si="11"/>
        <v>0.67912975571362166</v>
      </c>
      <c r="J33" s="32">
        <f t="shared" si="11"/>
        <v>0.67912975571362166</v>
      </c>
    </row>
    <row r="34" spans="2:10" ht="14.25" customHeight="1" x14ac:dyDescent="0.45">
      <c r="B34" s="31" t="s">
        <v>28</v>
      </c>
      <c r="C34" s="32">
        <f t="shared" ref="C34:J34" si="12">C10/C4</f>
        <v>0.32596602014734627</v>
      </c>
      <c r="D34" s="32">
        <f t="shared" si="12"/>
        <v>0.30199844780752816</v>
      </c>
      <c r="E34" s="32">
        <f t="shared" si="12"/>
        <v>0.28164867517173697</v>
      </c>
      <c r="F34" s="32">
        <f t="shared" si="12"/>
        <v>0.30999999999999989</v>
      </c>
      <c r="G34" s="32">
        <f t="shared" si="12"/>
        <v>0.315</v>
      </c>
      <c r="H34" s="32">
        <f t="shared" si="12"/>
        <v>0.32</v>
      </c>
      <c r="I34" s="32">
        <f t="shared" si="12"/>
        <v>0.32499999999999984</v>
      </c>
      <c r="J34" s="32">
        <f t="shared" si="12"/>
        <v>0.3249999999999999</v>
      </c>
    </row>
    <row r="35" spans="2:10" ht="14.25" customHeight="1" x14ac:dyDescent="0.45">
      <c r="B35" s="31" t="s">
        <v>29</v>
      </c>
      <c r="C35" s="32">
        <f t="shared" ref="C35:J35" si="13">C12/C4</f>
        <v>0.25214253495714928</v>
      </c>
      <c r="D35" s="32">
        <f t="shared" si="13"/>
        <v>0.23253783469150174</v>
      </c>
      <c r="E35" s="32">
        <f t="shared" si="13"/>
        <v>0.20874807233982898</v>
      </c>
      <c r="F35" s="32">
        <f t="shared" si="13"/>
        <v>0.23793843295395611</v>
      </c>
      <c r="G35" s="32">
        <f t="shared" si="13"/>
        <v>0.24293843295395623</v>
      </c>
      <c r="H35" s="32">
        <f t="shared" si="13"/>
        <v>0.24793843295395623</v>
      </c>
      <c r="I35" s="32">
        <f t="shared" si="13"/>
        <v>0.25293843295395607</v>
      </c>
      <c r="J35" s="32">
        <f t="shared" si="13"/>
        <v>0.25293843295395607</v>
      </c>
    </row>
    <row r="36" spans="2:10" ht="14.25" customHeight="1" x14ac:dyDescent="0.45">
      <c r="B36" s="31" t="s">
        <v>30</v>
      </c>
      <c r="C36" s="32">
        <f t="shared" ref="C36:J36" si="14">C16/C4</f>
        <v>4.9315892347015486E-2</v>
      </c>
      <c r="D36" s="32">
        <f t="shared" si="14"/>
        <v>4.9524641055490884E-2</v>
      </c>
      <c r="E36" s="32">
        <f t="shared" si="14"/>
        <v>6.388148978924249E-2</v>
      </c>
      <c r="F36" s="32">
        <f t="shared" si="14"/>
        <v>5.4240674397249611E-2</v>
      </c>
      <c r="G36" s="32">
        <f t="shared" si="14"/>
        <v>5.4240674397249618E-2</v>
      </c>
      <c r="H36" s="32">
        <f t="shared" si="14"/>
        <v>5.4240674397249618E-2</v>
      </c>
      <c r="I36" s="32">
        <f t="shared" si="14"/>
        <v>5.4240674397249618E-2</v>
      </c>
      <c r="J36" s="32">
        <f t="shared" si="14"/>
        <v>5.4240674397249618E-2</v>
      </c>
    </row>
    <row r="37" spans="2:10" ht="14.25" customHeight="1" x14ac:dyDescent="0.45">
      <c r="B37" s="31" t="s">
        <v>31</v>
      </c>
      <c r="C37" s="32">
        <f t="shared" ref="C37:J37" si="15">C11/C4</f>
        <v>7.3823485190196964E-2</v>
      </c>
      <c r="D37" s="32">
        <f t="shared" si="15"/>
        <v>6.9460613116026387E-2</v>
      </c>
      <c r="E37" s="32">
        <f t="shared" si="15"/>
        <v>7.2900602831908037E-2</v>
      </c>
      <c r="F37" s="32">
        <f t="shared" si="15"/>
        <v>7.2061567046043787E-2</v>
      </c>
      <c r="G37" s="32">
        <f t="shared" si="15"/>
        <v>7.2061567046043787E-2</v>
      </c>
      <c r="H37" s="32">
        <f t="shared" si="15"/>
        <v>7.2061567046043787E-2</v>
      </c>
      <c r="I37" s="32">
        <f t="shared" si="15"/>
        <v>7.2061567046043787E-2</v>
      </c>
      <c r="J37" s="32">
        <f t="shared" si="15"/>
        <v>7.2061567046043787E-2</v>
      </c>
    </row>
    <row r="38" spans="2:10" ht="14.25" customHeight="1" x14ac:dyDescent="0.45"/>
    <row r="39" spans="2:10" ht="14.25" customHeight="1" x14ac:dyDescent="0.45"/>
    <row r="40" spans="2:10" ht="14.25" customHeight="1" x14ac:dyDescent="0.45"/>
    <row r="41" spans="2:10" ht="14.25" customHeight="1" x14ac:dyDescent="0.45"/>
    <row r="42" spans="2:10" ht="14.25" customHeight="1" x14ac:dyDescent="0.45"/>
    <row r="43" spans="2:10" ht="14.25" customHeight="1" x14ac:dyDescent="0.45"/>
    <row r="44" spans="2:10" ht="14.25" customHeight="1" x14ac:dyDescent="0.45"/>
    <row r="45" spans="2:10" ht="14.25" customHeight="1" x14ac:dyDescent="0.45"/>
    <row r="46" spans="2:10" ht="14.25" customHeight="1" x14ac:dyDescent="0.45"/>
    <row r="47" spans="2:10" ht="14.25" customHeight="1" x14ac:dyDescent="0.45"/>
    <row r="48" spans="2:10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  <row r="1001" ht="14.25" customHeight="1" x14ac:dyDescent="0.45"/>
  </sheetData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000"/>
  <sheetViews>
    <sheetView showGridLines="0" zoomScaleNormal="100" workbookViewId="0">
      <selection activeCell="G11" sqref="G11"/>
    </sheetView>
  </sheetViews>
  <sheetFormatPr defaultColWidth="14.3984375" defaultRowHeight="14.25" x14ac:dyDescent="0.45"/>
  <cols>
    <col min="1" max="1" width="8.86328125" customWidth="1"/>
    <col min="2" max="2" width="27.86328125" customWidth="1"/>
    <col min="3" max="10" width="8.3984375" customWidth="1"/>
    <col min="11" max="26" width="8.86328125" customWidth="1"/>
  </cols>
  <sheetData>
    <row r="1" spans="2:11" ht="14.25" customHeight="1" x14ac:dyDescent="0.45"/>
    <row r="2" spans="2:11" ht="14.25" customHeight="1" x14ac:dyDescent="0.45">
      <c r="B2" s="3" t="s">
        <v>32</v>
      </c>
      <c r="C2" s="3"/>
      <c r="D2" s="3"/>
      <c r="E2" s="3"/>
      <c r="F2" s="3"/>
      <c r="G2" s="3"/>
      <c r="H2" s="3"/>
      <c r="I2" s="3"/>
      <c r="J2" s="3"/>
    </row>
    <row r="3" spans="2:11" ht="14.25" customHeight="1" x14ac:dyDescent="0.45">
      <c r="B3" s="6" t="s">
        <v>1</v>
      </c>
      <c r="C3" s="23">
        <v>45291</v>
      </c>
      <c r="D3" s="23">
        <v>45657</v>
      </c>
      <c r="E3" s="23">
        <v>46022</v>
      </c>
      <c r="F3" s="24">
        <v>46387</v>
      </c>
      <c r="G3" s="24">
        <v>46752</v>
      </c>
      <c r="H3" s="24">
        <v>47118</v>
      </c>
      <c r="I3" s="24">
        <v>47483</v>
      </c>
      <c r="J3" s="24">
        <v>47848</v>
      </c>
    </row>
    <row r="4" spans="2:11" ht="14.25" customHeight="1" x14ac:dyDescent="0.45">
      <c r="B4" t="s">
        <v>33</v>
      </c>
      <c r="C4" s="33">
        <f>'Balance Sheet'!B6+618</f>
        <v>3740</v>
      </c>
      <c r="D4" s="33">
        <f>'Balance Sheet'!C6+'Balance Sheet'!C8</f>
        <v>3840</v>
      </c>
      <c r="E4" s="33">
        <f>'Balance Sheet'!D6+'Balance Sheet'!D8</f>
        <v>4317</v>
      </c>
      <c r="F4" s="33">
        <f>E7</f>
        <v>4779</v>
      </c>
      <c r="G4" s="33">
        <f>F7</f>
        <v>4378.5832541188765</v>
      </c>
      <c r="H4" s="33">
        <f>G7</f>
        <v>3962.1498384025081</v>
      </c>
      <c r="I4" s="33">
        <f>H7</f>
        <v>3531.1412531360666</v>
      </c>
      <c r="J4" s="33">
        <f>I7</f>
        <v>3087.2024103116319</v>
      </c>
    </row>
    <row r="5" spans="2:11" ht="14.25" customHeight="1" x14ac:dyDescent="0.45">
      <c r="B5" t="s">
        <v>34</v>
      </c>
      <c r="C5" s="34">
        <f>'Income Statement'!C44+'Income Statement'!C45+'Income Statement'!C46+'Income Statement'!C47</f>
        <v>1473</v>
      </c>
      <c r="D5" s="34">
        <f>'Income Statement'!D44+'Income Statement'!D45+'Income Statement'!D46+'Income Statement'!D47</f>
        <v>1432</v>
      </c>
      <c r="E5" s="34">
        <f>'Income Statement'!E44+'Income Statement'!E45+'Income Statement'!E46+'Income Statement'!E47</f>
        <v>1560</v>
      </c>
      <c r="F5" s="16">
        <f>'Free Cash Flow'!F4*F11</f>
        <v>1619.1477468792057</v>
      </c>
      <c r="G5" s="16">
        <f>'Free Cash Flow'!G4*G11</f>
        <v>1683.913656754374</v>
      </c>
      <c r="H5" s="16">
        <f>'Free Cash Flow'!H4*H11</f>
        <v>1742.8506347407767</v>
      </c>
      <c r="I5" s="16">
        <f>'Free Cash Flow'!I4*I11</f>
        <v>1795.1361537830003</v>
      </c>
      <c r="J5" s="16">
        <f>'Free Cash Flow'!J4*J11</f>
        <v>1840.0145576275752</v>
      </c>
    </row>
    <row r="6" spans="2:11" ht="14.25" customHeight="1" x14ac:dyDescent="0.45">
      <c r="B6" t="s">
        <v>35</v>
      </c>
      <c r="C6" s="34">
        <f>-'Cash Flow Statement'!C24+-'Cash Flow Statement'!C26+-'Cash Flow Statement'!C27+IF('Cash Flow Statement'!C29&lt;0,-'Cash Flow Statement'!C29,0)</f>
        <v>984</v>
      </c>
      <c r="D6" s="34">
        <f>-'Cash Flow Statement'!D24+-'Cash Flow Statement'!D26+-'Cash Flow Statement'!D27+IF('Cash Flow Statement'!D29&lt;0,-'Cash Flow Statement'!D29,0)</f>
        <v>1021</v>
      </c>
      <c r="E6" s="34">
        <f>-'Cash Flow Statement'!E24+-'Cash Flow Statement'!E26+-'Cash Flow Statement'!E27+IF('Cash Flow Statement'!E29&lt;0,-'Cash Flow Statement'!E29,0)</f>
        <v>1367</v>
      </c>
      <c r="F6" s="16">
        <f>'Free Cash Flow'!F4*F12</f>
        <v>1218.7310009980818</v>
      </c>
      <c r="G6" s="16">
        <f>'Free Cash Flow'!G4*G12</f>
        <v>1267.4802410380053</v>
      </c>
      <c r="H6" s="16">
        <f>'Free Cash Flow'!H4*H12</f>
        <v>1311.8420494743352</v>
      </c>
      <c r="I6" s="16">
        <f>'Free Cash Flow'!I4*I12</f>
        <v>1351.1973109585654</v>
      </c>
      <c r="J6" s="16">
        <f>'Free Cash Flow'!J4*J12</f>
        <v>1384.9772437325296</v>
      </c>
      <c r="K6" s="33"/>
    </row>
    <row r="7" spans="2:11" ht="14.25" customHeight="1" x14ac:dyDescent="0.45">
      <c r="B7" s="35" t="s">
        <v>36</v>
      </c>
      <c r="C7" s="36">
        <f>'Balance Sheet'!C6+'Balance Sheet'!C8</f>
        <v>3840</v>
      </c>
      <c r="D7" s="36">
        <f>'Balance Sheet'!D6+'Balance Sheet'!D8</f>
        <v>4317</v>
      </c>
      <c r="E7" s="36">
        <f>'Balance Sheet'!E6+'Balance Sheet'!E8</f>
        <v>4779</v>
      </c>
      <c r="F7" s="36">
        <f>F4-F5+F6</f>
        <v>4378.5832541188765</v>
      </c>
      <c r="G7" s="36">
        <f>G4-G5+G6</f>
        <v>3962.1498384025081</v>
      </c>
      <c r="H7" s="36">
        <f>H4-H5+H6</f>
        <v>3531.1412531360666</v>
      </c>
      <c r="I7" s="36">
        <f>I4-I5+I6</f>
        <v>3087.2024103116319</v>
      </c>
      <c r="J7" s="36">
        <f>J4-J5+J6</f>
        <v>2632.1650964165865</v>
      </c>
    </row>
    <row r="8" spans="2:11" ht="14.25" customHeight="1" x14ac:dyDescent="0.45">
      <c r="E8" s="33"/>
    </row>
    <row r="9" spans="2:11" ht="14.25" customHeight="1" x14ac:dyDescent="0.45">
      <c r="B9" s="3" t="s">
        <v>19</v>
      </c>
      <c r="C9" s="3"/>
      <c r="D9" s="3"/>
      <c r="E9" s="3"/>
      <c r="F9" s="3"/>
      <c r="G9" s="3"/>
      <c r="H9" s="3"/>
      <c r="I9" s="3"/>
      <c r="J9" s="3"/>
    </row>
    <row r="10" spans="2:11" ht="14.25" customHeight="1" x14ac:dyDescent="0.45">
      <c r="B10" s="6" t="s">
        <v>1</v>
      </c>
      <c r="C10" s="23">
        <v>45291</v>
      </c>
      <c r="D10" s="23">
        <v>45657</v>
      </c>
      <c r="E10" s="23">
        <v>46022</v>
      </c>
      <c r="F10" s="24">
        <v>46387</v>
      </c>
      <c r="G10" s="24">
        <v>46752</v>
      </c>
      <c r="H10" s="24">
        <v>47118</v>
      </c>
      <c r="I10" s="24">
        <v>47483</v>
      </c>
      <c r="J10" s="24">
        <v>47848</v>
      </c>
    </row>
    <row r="11" spans="2:11" ht="14.25" customHeight="1" x14ac:dyDescent="0.45">
      <c r="B11" s="25" t="s">
        <v>37</v>
      </c>
      <c r="C11" s="37">
        <f>C5/'Free Cash Flow'!C4</f>
        <v>7.3823485190196964E-2</v>
      </c>
      <c r="D11" s="37">
        <f>D5/'Free Cash Flow'!D4</f>
        <v>6.9460613116026387E-2</v>
      </c>
      <c r="E11" s="37">
        <f>E5/'Free Cash Flow'!E4</f>
        <v>7.2900602831908037E-2</v>
      </c>
      <c r="F11" s="27">
        <f>AVERAGE(C11:E11)</f>
        <v>7.2061567046043787E-2</v>
      </c>
      <c r="G11" s="27">
        <f t="shared" ref="G11:J12" si="0">F11</f>
        <v>7.2061567046043787E-2</v>
      </c>
      <c r="H11" s="27">
        <f t="shared" si="0"/>
        <v>7.2061567046043787E-2</v>
      </c>
      <c r="I11" s="27">
        <f t="shared" si="0"/>
        <v>7.2061567046043787E-2</v>
      </c>
      <c r="J11" s="27">
        <f t="shared" si="0"/>
        <v>7.2061567046043787E-2</v>
      </c>
    </row>
    <row r="12" spans="2:11" ht="14.25" customHeight="1" x14ac:dyDescent="0.45">
      <c r="B12" s="25" t="s">
        <v>38</v>
      </c>
      <c r="C12" s="37">
        <f>C6/'Free Cash Flow'!C4</f>
        <v>4.9315892347015486E-2</v>
      </c>
      <c r="D12" s="37">
        <f>D6/'Free Cash Flow'!D4</f>
        <v>4.9524641055490884E-2</v>
      </c>
      <c r="E12" s="37">
        <f>E6/'Free Cash Flow'!E4</f>
        <v>6.388148978924249E-2</v>
      </c>
      <c r="F12" s="27">
        <f>AVERAGE(C12:E12)</f>
        <v>5.4240674397249618E-2</v>
      </c>
      <c r="G12" s="27">
        <f t="shared" si="0"/>
        <v>5.4240674397249618E-2</v>
      </c>
      <c r="H12" s="27">
        <f t="shared" si="0"/>
        <v>5.4240674397249618E-2</v>
      </c>
      <c r="I12" s="27">
        <f t="shared" si="0"/>
        <v>5.4240674397249618E-2</v>
      </c>
      <c r="J12" s="27">
        <f t="shared" si="0"/>
        <v>5.4240674397249618E-2</v>
      </c>
    </row>
    <row r="13" spans="2:11" ht="14.25" customHeight="1" x14ac:dyDescent="0.45">
      <c r="C13" s="38"/>
      <c r="D13" s="38"/>
      <c r="E13" s="38"/>
      <c r="F13" s="38"/>
      <c r="G13" s="38"/>
      <c r="H13" s="38"/>
      <c r="I13" s="38"/>
      <c r="J13" s="38"/>
    </row>
    <row r="14" spans="2:11" ht="14.25" customHeight="1" x14ac:dyDescent="0.45">
      <c r="C14" s="38"/>
      <c r="D14" s="38"/>
      <c r="E14" s="38"/>
      <c r="F14" s="38"/>
      <c r="G14" s="38"/>
      <c r="H14" s="38"/>
      <c r="I14" s="38"/>
      <c r="J14" s="38"/>
    </row>
    <row r="15" spans="2:11" ht="14.25" customHeight="1" x14ac:dyDescent="0.45">
      <c r="H15" s="38"/>
      <c r="I15" s="38"/>
      <c r="J15" s="38"/>
    </row>
    <row r="16" spans="2:11" ht="14.25" customHeight="1" x14ac:dyDescent="0.45"/>
    <row r="17" ht="14.25" customHeight="1" x14ac:dyDescent="0.45"/>
    <row r="18" ht="14.25" customHeight="1" x14ac:dyDescent="0.45"/>
    <row r="19" ht="14.25" customHeight="1" x14ac:dyDescent="0.45"/>
    <row r="20" ht="14.25" customHeight="1" x14ac:dyDescent="0.45"/>
    <row r="21" ht="14.25" customHeight="1" x14ac:dyDescent="0.45"/>
    <row r="22" ht="14.25" customHeight="1" x14ac:dyDescent="0.45"/>
    <row r="23" ht="14.25" customHeight="1" x14ac:dyDescent="0.45"/>
    <row r="24" ht="14.25" customHeight="1" x14ac:dyDescent="0.45"/>
    <row r="25" ht="14.25" customHeight="1" x14ac:dyDescent="0.45"/>
    <row r="26" ht="14.25" customHeight="1" x14ac:dyDescent="0.45"/>
    <row r="27" ht="14.25" customHeight="1" x14ac:dyDescent="0.45"/>
    <row r="28" ht="14.25" customHeight="1" x14ac:dyDescent="0.45"/>
    <row r="29" ht="14.25" customHeight="1" x14ac:dyDescent="0.45"/>
    <row r="30" ht="14.25" customHeight="1" x14ac:dyDescent="0.45"/>
    <row r="31" ht="14.25" customHeight="1" x14ac:dyDescent="0.45"/>
    <row r="32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pageMargins left="0.7" right="0.7" top="0.75" bottom="0.75" header="0.511811023622047" footer="0.511811023622047"/>
  <pageSetup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995"/>
  <sheetViews>
    <sheetView showGridLines="0" zoomScaleNormal="100" workbookViewId="0">
      <selection activeCell="C23" sqref="C23"/>
    </sheetView>
  </sheetViews>
  <sheetFormatPr defaultColWidth="14.3984375" defaultRowHeight="14.25" x14ac:dyDescent="0.45"/>
  <cols>
    <col min="1" max="1" width="8.86328125" customWidth="1"/>
    <col min="2" max="2" width="40.53125" customWidth="1"/>
    <col min="3" max="3" width="9.53125" customWidth="1"/>
    <col min="4" max="26" width="8.86328125" customWidth="1"/>
  </cols>
  <sheetData>
    <row r="1" spans="2:11" ht="14.25" customHeight="1" x14ac:dyDescent="0.45"/>
    <row r="2" spans="2:11" ht="14.25" customHeight="1" x14ac:dyDescent="0.45">
      <c r="B2" s="3" t="s">
        <v>39</v>
      </c>
      <c r="C2" s="3"/>
      <c r="D2" s="3"/>
      <c r="E2" s="3"/>
      <c r="F2" s="3"/>
      <c r="G2" s="3"/>
      <c r="H2" s="3"/>
      <c r="I2" s="3"/>
      <c r="J2" s="3"/>
      <c r="K2" s="3"/>
    </row>
    <row r="3" spans="2:11" ht="14.25" customHeight="1" x14ac:dyDescent="0.45">
      <c r="B3" s="6" t="s">
        <v>1</v>
      </c>
      <c r="C3" s="23">
        <v>44926</v>
      </c>
      <c r="D3" s="23">
        <v>45291</v>
      </c>
      <c r="E3" s="23">
        <v>45657</v>
      </c>
      <c r="F3" s="23">
        <v>46022</v>
      </c>
      <c r="G3" s="24">
        <v>46387</v>
      </c>
      <c r="H3" s="24">
        <v>46752</v>
      </c>
      <c r="I3" s="24">
        <v>47118</v>
      </c>
      <c r="J3" s="24">
        <v>47483</v>
      </c>
      <c r="K3" s="24">
        <v>47848</v>
      </c>
    </row>
    <row r="4" spans="2:11" ht="14.25" customHeight="1" x14ac:dyDescent="0.45">
      <c r="B4" t="s">
        <v>40</v>
      </c>
      <c r="C4" s="33">
        <f>'Balance Sheet'!B20</f>
        <v>1662</v>
      </c>
      <c r="D4" s="39">
        <f>'Balance Sheet'!C20</f>
        <v>1708</v>
      </c>
      <c r="E4" s="39">
        <f>'Balance Sheet'!D20</f>
        <v>1910</v>
      </c>
      <c r="F4" s="39">
        <f>'Balance Sheet'!E20</f>
        <v>1897</v>
      </c>
      <c r="G4" s="33">
        <f>G19*G16/360</f>
        <v>1998.9625185403688</v>
      </c>
      <c r="H4" s="33">
        <f>H19*H16/360</f>
        <v>2078.9210192819837</v>
      </c>
      <c r="I4" s="33">
        <f>I19*I16/360</f>
        <v>2151.6832549568526</v>
      </c>
      <c r="J4" s="33">
        <f>J19*J16/360</f>
        <v>2216.2337526055585</v>
      </c>
      <c r="K4" s="33">
        <f>K19*K16/360</f>
        <v>2271.6395964206977</v>
      </c>
    </row>
    <row r="5" spans="2:11" ht="14.25" customHeight="1" x14ac:dyDescent="0.45">
      <c r="B5" t="s">
        <v>41</v>
      </c>
      <c r="C5" s="33">
        <f>'Balance Sheet'!B19</f>
        <v>7099</v>
      </c>
      <c r="D5" s="39">
        <f>'Balance Sheet'!C19</f>
        <v>7096</v>
      </c>
      <c r="E5" s="39">
        <f>'Balance Sheet'!D19</f>
        <v>7980</v>
      </c>
      <c r="F5" s="39">
        <f>'Balance Sheet'!E19</f>
        <v>8629</v>
      </c>
      <c r="G5" s="33">
        <f>-G20*G17/360</f>
        <v>8577.7090544134189</v>
      </c>
      <c r="H5" s="33">
        <f>-H20*H17/360</f>
        <v>8920.8174165899563</v>
      </c>
      <c r="I5" s="33">
        <f>-I20*I17/360</f>
        <v>9233.046026170603</v>
      </c>
      <c r="J5" s="33">
        <f>-J20*J17/360</f>
        <v>9510.037406955722</v>
      </c>
      <c r="K5" s="33">
        <f>-K20*K17/360</f>
        <v>9747.7883421296156</v>
      </c>
    </row>
    <row r="6" spans="2:11" ht="14.25" customHeight="1" x14ac:dyDescent="0.45">
      <c r="B6" t="s">
        <v>42</v>
      </c>
      <c r="C6" s="33"/>
      <c r="D6" s="33"/>
      <c r="E6" s="33"/>
      <c r="F6" s="33"/>
      <c r="G6" s="33">
        <f>G23*G16</f>
        <v>0</v>
      </c>
      <c r="H6" s="33">
        <f>H23*H16</f>
        <v>0</v>
      </c>
      <c r="I6" s="33">
        <f>I23*I16</f>
        <v>0</v>
      </c>
      <c r="J6" s="33">
        <f>J23*J16</f>
        <v>0</v>
      </c>
      <c r="K6" s="33">
        <f>K23*K16</f>
        <v>0</v>
      </c>
    </row>
    <row r="7" spans="2:11" ht="14.25" customHeight="1" x14ac:dyDescent="0.45">
      <c r="B7" s="35" t="s">
        <v>16</v>
      </c>
      <c r="C7" s="36">
        <f t="shared" ref="C7:K7" si="0">SUM(C4:C6)</f>
        <v>8761</v>
      </c>
      <c r="D7" s="36">
        <f t="shared" si="0"/>
        <v>8804</v>
      </c>
      <c r="E7" s="36">
        <f t="shared" si="0"/>
        <v>9890</v>
      </c>
      <c r="F7" s="36">
        <f t="shared" si="0"/>
        <v>10526</v>
      </c>
      <c r="G7" s="36">
        <f t="shared" si="0"/>
        <v>10576.671572953788</v>
      </c>
      <c r="H7" s="36">
        <f t="shared" si="0"/>
        <v>10999.738435871939</v>
      </c>
      <c r="I7" s="36">
        <f t="shared" si="0"/>
        <v>11384.729281127456</v>
      </c>
      <c r="J7" s="36">
        <f t="shared" si="0"/>
        <v>11726.27115956128</v>
      </c>
      <c r="K7" s="36">
        <f t="shared" si="0"/>
        <v>12019.427938550314</v>
      </c>
    </row>
    <row r="8" spans="2:11" ht="14.25" customHeight="1" x14ac:dyDescent="0.45"/>
    <row r="9" spans="2:11" ht="14.25" customHeight="1" x14ac:dyDescent="0.45">
      <c r="B9" t="s">
        <v>43</v>
      </c>
      <c r="C9" s="33">
        <f>'Balance Sheet'!B51</f>
        <v>3351</v>
      </c>
      <c r="D9" s="33">
        <f>'Balance Sheet'!C51</f>
        <v>2960</v>
      </c>
      <c r="E9" s="33">
        <f>'Balance Sheet'!D51</f>
        <v>2964</v>
      </c>
      <c r="F9" s="33">
        <f>'Balance Sheet'!E51</f>
        <v>3079</v>
      </c>
      <c r="G9" s="33">
        <f>-G21*G17/360</f>
        <v>3268.1918754842854</v>
      </c>
      <c r="H9" s="33">
        <f>-H21*H17/360</f>
        <v>3398.9195505036573</v>
      </c>
      <c r="I9" s="33">
        <f>-I21*I17/360</f>
        <v>3517.8817347712848</v>
      </c>
      <c r="J9" s="33">
        <f>-J21*J17/360</f>
        <v>3623.4181868144242</v>
      </c>
      <c r="K9" s="33">
        <f>-K21*K17/360</f>
        <v>3714.0036414847837</v>
      </c>
    </row>
    <row r="10" spans="2:11" ht="14.25" customHeight="1" x14ac:dyDescent="0.45">
      <c r="B10" t="s">
        <v>44</v>
      </c>
      <c r="C10" s="33"/>
      <c r="D10" s="33"/>
      <c r="E10" s="33"/>
      <c r="F10" s="33"/>
      <c r="G10" s="33">
        <f>G25*G16</f>
        <v>0</v>
      </c>
      <c r="H10" s="33">
        <f>H25*H16</f>
        <v>0</v>
      </c>
      <c r="I10" s="33">
        <f>I25*I16</f>
        <v>0</v>
      </c>
      <c r="J10" s="33">
        <f>J25*J16</f>
        <v>0</v>
      </c>
      <c r="K10" s="33">
        <f>K25*K16</f>
        <v>0</v>
      </c>
    </row>
    <row r="11" spans="2:11" ht="14.25" customHeight="1" x14ac:dyDescent="0.45">
      <c r="B11" t="s">
        <v>45</v>
      </c>
      <c r="C11" s="33"/>
      <c r="D11" s="33"/>
      <c r="E11" s="33"/>
      <c r="F11" s="33"/>
      <c r="G11" s="33">
        <f>G24*G16</f>
        <v>0</v>
      </c>
      <c r="H11" s="33">
        <f>H24*H16</f>
        <v>0</v>
      </c>
      <c r="I11" s="33">
        <f>I24*I16</f>
        <v>0</v>
      </c>
      <c r="J11" s="33">
        <f>J24*J16</f>
        <v>0</v>
      </c>
      <c r="K11" s="33">
        <f>K24*K16</f>
        <v>0</v>
      </c>
    </row>
    <row r="12" spans="2:11" ht="14.25" customHeight="1" x14ac:dyDescent="0.45">
      <c r="B12" s="35" t="s">
        <v>46</v>
      </c>
      <c r="C12" s="36">
        <f t="shared" ref="C12:K12" si="1">SUM(C9:C11)</f>
        <v>3351</v>
      </c>
      <c r="D12" s="36">
        <f t="shared" si="1"/>
        <v>2960</v>
      </c>
      <c r="E12" s="36">
        <f t="shared" si="1"/>
        <v>2964</v>
      </c>
      <c r="F12" s="36">
        <f t="shared" si="1"/>
        <v>3079</v>
      </c>
      <c r="G12" s="36">
        <f t="shared" si="1"/>
        <v>3268.1918754842854</v>
      </c>
      <c r="H12" s="36">
        <f t="shared" si="1"/>
        <v>3398.9195505036573</v>
      </c>
      <c r="I12" s="36">
        <f t="shared" si="1"/>
        <v>3517.8817347712848</v>
      </c>
      <c r="J12" s="36">
        <f t="shared" si="1"/>
        <v>3623.4181868144242</v>
      </c>
      <c r="K12" s="36">
        <f t="shared" si="1"/>
        <v>3714.0036414847837</v>
      </c>
    </row>
    <row r="13" spans="2:11" ht="14.25" customHeight="1" x14ac:dyDescent="0.45"/>
    <row r="14" spans="2:11" ht="14.25" customHeight="1" x14ac:dyDescent="0.45">
      <c r="B14" s="3" t="s">
        <v>19</v>
      </c>
      <c r="C14" s="3"/>
      <c r="D14" s="3"/>
      <c r="E14" s="3"/>
      <c r="F14" s="3"/>
      <c r="G14" s="3"/>
      <c r="H14" s="3"/>
      <c r="I14" s="3"/>
      <c r="J14" s="3"/>
      <c r="K14" s="3"/>
    </row>
    <row r="15" spans="2:11" ht="14.25" customHeight="1" x14ac:dyDescent="0.45">
      <c r="B15" s="6" t="s">
        <v>1</v>
      </c>
      <c r="C15" s="23">
        <v>44926</v>
      </c>
      <c r="D15" s="23">
        <v>45291</v>
      </c>
      <c r="E15" s="23">
        <v>45657</v>
      </c>
      <c r="F15" s="23">
        <v>46022</v>
      </c>
      <c r="G15" s="24">
        <v>46387</v>
      </c>
      <c r="H15" s="24">
        <v>46752</v>
      </c>
      <c r="I15" s="24">
        <v>47118</v>
      </c>
      <c r="J15" s="24">
        <v>47483</v>
      </c>
      <c r="K15" s="24">
        <v>47848</v>
      </c>
    </row>
    <row r="16" spans="2:11" ht="14.25" customHeight="1" x14ac:dyDescent="0.45">
      <c r="B16" s="25" t="s">
        <v>2</v>
      </c>
      <c r="C16" s="40">
        <f>'Income Statement'!B5</f>
        <v>16748</v>
      </c>
      <c r="D16" s="40">
        <f>'Income Statement'!C5</f>
        <v>19953</v>
      </c>
      <c r="E16" s="40">
        <f>'Income Statement'!D5</f>
        <v>20616</v>
      </c>
      <c r="F16" s="40">
        <f>'Income Statement'!E5</f>
        <v>21399</v>
      </c>
      <c r="G16" s="40">
        <f>'Free Cash Flow'!F4</f>
        <v>22468.95</v>
      </c>
      <c r="H16" s="40">
        <f>'Free Cash Flow'!G4</f>
        <v>23367.708000000002</v>
      </c>
      <c r="I16" s="40">
        <f>'Free Cash Flow'!H4</f>
        <v>24185.57778</v>
      </c>
      <c r="J16" s="40">
        <f>'Free Cash Flow'!I4</f>
        <v>24911.145113400002</v>
      </c>
      <c r="K16" s="40">
        <f>'Free Cash Flow'!J4</f>
        <v>25533.923741235001</v>
      </c>
    </row>
    <row r="17" spans="2:11" ht="14.25" customHeight="1" x14ac:dyDescent="0.45">
      <c r="B17" s="25" t="s">
        <v>3</v>
      </c>
      <c r="C17" s="40">
        <f>'Income Statement'!B6</f>
        <v>-5572</v>
      </c>
      <c r="D17" s="40">
        <f>'Income Statement'!C6</f>
        <v>-6237</v>
      </c>
      <c r="E17" s="40">
        <f>'Income Statement'!D6</f>
        <v>-6580</v>
      </c>
      <c r="F17" s="40">
        <f>'Income Statement'!E6</f>
        <v>-7080</v>
      </c>
      <c r="G17" s="40">
        <f>-'Free Cash Flow'!F5</f>
        <v>-7209.6174753584191</v>
      </c>
      <c r="H17" s="40">
        <f>-'Free Cash Flow'!G5</f>
        <v>-7498.0021743727566</v>
      </c>
      <c r="I17" s="40">
        <f>-'Free Cash Flow'!H5</f>
        <v>-7760.432250475802</v>
      </c>
      <c r="J17" s="40">
        <f>-'Free Cash Flow'!I5</f>
        <v>-7993.2452179900774</v>
      </c>
      <c r="K17" s="40">
        <f>-'Free Cash Flow'!J5</f>
        <v>-8193.0763484398285</v>
      </c>
    </row>
    <row r="18" spans="2:11" ht="14.25" customHeight="1" x14ac:dyDescent="0.45"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2:11" ht="14.25" customHeight="1" x14ac:dyDescent="0.45">
      <c r="B19" s="25" t="s">
        <v>47</v>
      </c>
      <c r="C19" s="41">
        <f>C4/C16*360</f>
        <v>35.724862670169571</v>
      </c>
      <c r="D19" s="41">
        <f>D4/D16*360</f>
        <v>30.816418583671627</v>
      </c>
      <c r="E19" s="41">
        <f>E4/E16*360</f>
        <v>33.352735739231662</v>
      </c>
      <c r="F19" s="41">
        <f>F4/F16*360</f>
        <v>31.913640824337584</v>
      </c>
      <c r="G19" s="41">
        <f>AVERAGE(D19:F19)</f>
        <v>32.027598382413629</v>
      </c>
      <c r="H19" s="41">
        <f t="shared" ref="H19:K21" si="2">G19</f>
        <v>32.027598382413629</v>
      </c>
      <c r="I19" s="41">
        <f t="shared" si="2"/>
        <v>32.027598382413629</v>
      </c>
      <c r="J19" s="41">
        <f t="shared" si="2"/>
        <v>32.027598382413629</v>
      </c>
      <c r="K19" s="41">
        <f t="shared" si="2"/>
        <v>32.027598382413629</v>
      </c>
    </row>
    <row r="20" spans="2:11" ht="14.25" customHeight="1" x14ac:dyDescent="0.45">
      <c r="B20" s="25" t="s">
        <v>48</v>
      </c>
      <c r="C20" s="41">
        <f>-C5/C17*360</f>
        <v>458.65757358219668</v>
      </c>
      <c r="D20" s="41">
        <f>-D5/D17*360</f>
        <v>409.58152958152954</v>
      </c>
      <c r="E20" s="41">
        <f>-E5/E17*360</f>
        <v>436.59574468085111</v>
      </c>
      <c r="F20" s="41">
        <f>-F5/F17*360</f>
        <v>438.76271186440675</v>
      </c>
      <c r="G20" s="41">
        <f>AVERAGE(D20:F20)</f>
        <v>428.31332870892919</v>
      </c>
      <c r="H20" s="41">
        <f t="shared" si="2"/>
        <v>428.31332870892919</v>
      </c>
      <c r="I20" s="41">
        <f t="shared" si="2"/>
        <v>428.31332870892919</v>
      </c>
      <c r="J20" s="41">
        <f t="shared" si="2"/>
        <v>428.31332870892919</v>
      </c>
      <c r="K20" s="41">
        <f t="shared" si="2"/>
        <v>428.31332870892919</v>
      </c>
    </row>
    <row r="21" spans="2:11" ht="14.25" customHeight="1" x14ac:dyDescent="0.45">
      <c r="B21" s="25" t="s">
        <v>49</v>
      </c>
      <c r="C21" s="41">
        <f>-C9/C17*360</f>
        <v>216.50394831299354</v>
      </c>
      <c r="D21" s="41">
        <f>-D9/D17*360</f>
        <v>170.85137085137086</v>
      </c>
      <c r="E21" s="41">
        <f>-E9/E17*360</f>
        <v>162.16413373860183</v>
      </c>
      <c r="F21" s="41">
        <f>-F9/F17*360</f>
        <v>156.5593220338983</v>
      </c>
      <c r="G21" s="41">
        <f>AVERAGE(D21:F21)</f>
        <v>163.19160887462365</v>
      </c>
      <c r="H21" s="41">
        <f t="shared" si="2"/>
        <v>163.19160887462365</v>
      </c>
      <c r="I21" s="41">
        <f t="shared" si="2"/>
        <v>163.19160887462365</v>
      </c>
      <c r="J21" s="41">
        <f t="shared" si="2"/>
        <v>163.19160887462365</v>
      </c>
      <c r="K21" s="41">
        <f t="shared" si="2"/>
        <v>163.19160887462365</v>
      </c>
    </row>
    <row r="22" spans="2:11" ht="14.25" customHeight="1" x14ac:dyDescent="0.45"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2:11" ht="14.25" customHeight="1" x14ac:dyDescent="0.45">
      <c r="B23" s="25" t="s">
        <v>50</v>
      </c>
      <c r="C23" s="42">
        <f>C6/C16</f>
        <v>0</v>
      </c>
      <c r="D23" s="42">
        <f>D6/D16</f>
        <v>0</v>
      </c>
      <c r="E23" s="42">
        <f>E6/E16</f>
        <v>0</v>
      </c>
      <c r="F23" s="42">
        <f>F6/F16</f>
        <v>0</v>
      </c>
      <c r="G23" s="42">
        <f>AVERAGE(C23:F23)</f>
        <v>0</v>
      </c>
      <c r="H23" s="42">
        <f t="shared" ref="H23:K25" si="3">G23</f>
        <v>0</v>
      </c>
      <c r="I23" s="42">
        <f t="shared" si="3"/>
        <v>0</v>
      </c>
      <c r="J23" s="42">
        <f t="shared" si="3"/>
        <v>0</v>
      </c>
      <c r="K23" s="42">
        <f t="shared" si="3"/>
        <v>0</v>
      </c>
    </row>
    <row r="24" spans="2:11" ht="14.25" customHeight="1" x14ac:dyDescent="0.45">
      <c r="B24" s="25" t="s">
        <v>51</v>
      </c>
      <c r="C24" s="42">
        <f>C11/C16</f>
        <v>0</v>
      </c>
      <c r="D24" s="42">
        <f>D11/D16</f>
        <v>0</v>
      </c>
      <c r="E24" s="42">
        <f>E11/E16</f>
        <v>0</v>
      </c>
      <c r="F24" s="42">
        <f>F11/F16</f>
        <v>0</v>
      </c>
      <c r="G24" s="42">
        <f>AVERAGE(C24:F24)</f>
        <v>0</v>
      </c>
      <c r="H24" s="42">
        <f t="shared" si="3"/>
        <v>0</v>
      </c>
      <c r="I24" s="42">
        <f t="shared" si="3"/>
        <v>0</v>
      </c>
      <c r="J24" s="42">
        <f t="shared" si="3"/>
        <v>0</v>
      </c>
      <c r="K24" s="42">
        <f t="shared" si="3"/>
        <v>0</v>
      </c>
    </row>
    <row r="25" spans="2:11" ht="14.25" customHeight="1" x14ac:dyDescent="0.45">
      <c r="B25" s="25" t="s">
        <v>52</v>
      </c>
      <c r="C25" s="42">
        <f>C10/C16</f>
        <v>0</v>
      </c>
      <c r="D25" s="42">
        <f>D10/D16</f>
        <v>0</v>
      </c>
      <c r="E25" s="42">
        <f>E10/E16</f>
        <v>0</v>
      </c>
      <c r="F25" s="42">
        <f>F10/F16</f>
        <v>0</v>
      </c>
      <c r="G25" s="42">
        <f>AVERAGE(C25:F25)</f>
        <v>0</v>
      </c>
      <c r="H25" s="42">
        <f t="shared" si="3"/>
        <v>0</v>
      </c>
      <c r="I25" s="42">
        <f t="shared" si="3"/>
        <v>0</v>
      </c>
      <c r="J25" s="42">
        <f t="shared" si="3"/>
        <v>0</v>
      </c>
      <c r="K25" s="42">
        <f t="shared" si="3"/>
        <v>0</v>
      </c>
    </row>
    <row r="26" spans="2:11" ht="14.25" customHeight="1" x14ac:dyDescent="0.45"/>
    <row r="27" spans="2:11" ht="14.25" customHeight="1" x14ac:dyDescent="0.45"/>
    <row r="28" spans="2:11" ht="14.25" customHeight="1" x14ac:dyDescent="0.45"/>
    <row r="29" spans="2:11" ht="14.25" customHeight="1" x14ac:dyDescent="0.45"/>
    <row r="30" spans="2:11" ht="14.25" customHeight="1" x14ac:dyDescent="0.45"/>
    <row r="31" spans="2:11" ht="14.25" customHeight="1" x14ac:dyDescent="0.45"/>
    <row r="32" spans="2:11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</sheetData>
  <pageMargins left="0.7" right="0.7" top="0.75" bottom="0.75" header="0.511811023622047" footer="0.511811023622047"/>
  <pageSetup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1000"/>
  <sheetViews>
    <sheetView showGridLines="0" tabSelected="1" zoomScaleNormal="100" workbookViewId="0">
      <selection activeCell="C17" sqref="C17"/>
    </sheetView>
  </sheetViews>
  <sheetFormatPr defaultColWidth="14.3984375" defaultRowHeight="14.25" outlineLevelRow="1" x14ac:dyDescent="0.45"/>
  <cols>
    <col min="1" max="1" width="8.86328125" customWidth="1"/>
    <col min="2" max="2" width="34" customWidth="1"/>
    <col min="3" max="10" width="14" customWidth="1"/>
    <col min="11" max="11" width="13" customWidth="1"/>
    <col min="12" max="26" width="8.86328125" customWidth="1"/>
  </cols>
  <sheetData>
    <row r="1" spans="2:11" ht="14.25" customHeight="1" x14ac:dyDescent="0.45"/>
    <row r="2" spans="2:11" ht="14.25" customHeight="1" x14ac:dyDescent="0.45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</row>
    <row r="3" spans="2:11" ht="14.25" customHeight="1" x14ac:dyDescent="0.45">
      <c r="B3" s="6" t="s">
        <v>1</v>
      </c>
      <c r="C3" s="23"/>
      <c r="D3" s="23">
        <v>45291</v>
      </c>
      <c r="E3" s="23">
        <v>45657</v>
      </c>
      <c r="F3" s="23">
        <v>46022</v>
      </c>
      <c r="G3" s="24">
        <v>46387</v>
      </c>
      <c r="H3" s="24">
        <v>46752</v>
      </c>
      <c r="I3" s="24">
        <v>47118</v>
      </c>
      <c r="J3" s="24">
        <v>47483</v>
      </c>
      <c r="K3" s="24">
        <v>47848</v>
      </c>
    </row>
    <row r="4" spans="2:11" ht="14.25" customHeight="1" x14ac:dyDescent="0.45">
      <c r="B4" t="s">
        <v>18</v>
      </c>
      <c r="C4" s="33"/>
      <c r="D4" s="33">
        <f>'Free Cash Flow'!C21</f>
        <v>4239</v>
      </c>
      <c r="E4" s="33">
        <f>'Free Cash Flow'!D21</f>
        <v>3286</v>
      </c>
      <c r="F4" s="33">
        <f>'Free Cash Flow'!E21</f>
        <v>3412</v>
      </c>
      <c r="G4" s="33">
        <f>'Free Cash Flow'!F21</f>
        <v>4983.9708841644679</v>
      </c>
      <c r="H4" s="33">
        <f>'Free Cash Flow'!G21</f>
        <v>4844.0729329048854</v>
      </c>
      <c r="I4" s="33">
        <f>'Free Cash Flow'!H21</f>
        <v>5150.7014230048881</v>
      </c>
      <c r="J4" s="33">
        <f>'Free Cash Flow'!I21</f>
        <v>5446.7864052516888</v>
      </c>
      <c r="K4" s="33">
        <f>'Free Cash Flow'!J21</f>
        <v>5622.290303114758</v>
      </c>
    </row>
    <row r="5" spans="2:11" ht="14.25" customHeight="1" x14ac:dyDescent="0.45"/>
    <row r="6" spans="2:11" ht="14.25" customHeight="1" x14ac:dyDescent="0.45">
      <c r="B6" t="s">
        <v>53</v>
      </c>
      <c r="G6">
        <v>1</v>
      </c>
      <c r="H6">
        <v>2</v>
      </c>
      <c r="I6">
        <v>3</v>
      </c>
      <c r="J6">
        <v>4</v>
      </c>
      <c r="K6">
        <v>5</v>
      </c>
    </row>
    <row r="7" spans="2:11" ht="14.25" customHeight="1" x14ac:dyDescent="0.45">
      <c r="B7" s="35" t="s">
        <v>54</v>
      </c>
      <c r="C7" s="35"/>
      <c r="D7" s="35"/>
      <c r="E7" s="35"/>
      <c r="F7" s="35"/>
      <c r="G7" s="36">
        <f>G4/(1+$C$12)^(G6)</f>
        <v>4617.2910549035241</v>
      </c>
      <c r="H7" s="36">
        <f>H4/(1+$C$12)^(H6)</f>
        <v>4157.5184317215153</v>
      </c>
      <c r="I7" s="36">
        <f>I4/(1+$C$12)^(I6)</f>
        <v>4095.4501144837773</v>
      </c>
      <c r="J7" s="36">
        <f>J4/(1+$C$12)^(J6)</f>
        <v>4012.2442632176408</v>
      </c>
      <c r="K7" s="36">
        <f>K4/(1+$C$12)^(K6)</f>
        <v>3836.8254422738419</v>
      </c>
    </row>
    <row r="8" spans="2:11" ht="14.25" customHeight="1" x14ac:dyDescent="0.45"/>
    <row r="9" spans="2:11" ht="14.25" customHeight="1" x14ac:dyDescent="0.45">
      <c r="B9" s="80" t="s">
        <v>55</v>
      </c>
      <c r="C9" s="80"/>
      <c r="E9" s="80" t="s">
        <v>56</v>
      </c>
      <c r="F9" s="80"/>
      <c r="G9" s="80"/>
      <c r="H9" s="80"/>
      <c r="I9" s="80"/>
      <c r="J9" s="80"/>
      <c r="K9" s="80"/>
    </row>
    <row r="10" spans="2:11" ht="14.25" customHeight="1" x14ac:dyDescent="0.45">
      <c r="B10" t="s">
        <v>57</v>
      </c>
      <c r="C10" s="33">
        <f>SUM(G7:K7)</f>
        <v>20719.329306600299</v>
      </c>
    </row>
    <row r="11" spans="2:11" ht="14.25" customHeight="1" x14ac:dyDescent="0.45">
      <c r="B11" t="s">
        <v>58</v>
      </c>
      <c r="C11" s="43">
        <v>0.02</v>
      </c>
      <c r="G11" s="80" t="s">
        <v>58</v>
      </c>
      <c r="H11" s="80"/>
      <c r="I11" s="80"/>
      <c r="J11" s="80"/>
      <c r="K11" s="80"/>
    </row>
    <row r="12" spans="2:11" ht="15" customHeight="1" x14ac:dyDescent="0.45">
      <c r="B12" t="s">
        <v>59</v>
      </c>
      <c r="C12" s="79">
        <f>WACC!C18</f>
        <v>7.9414493238742778E-2</v>
      </c>
      <c r="F12" s="44">
        <f>C21</f>
        <v>154.90006862846593</v>
      </c>
      <c r="G12" s="45">
        <v>0.01</v>
      </c>
      <c r="H12" s="45">
        <v>1.4999999999999999E-2</v>
      </c>
      <c r="I12" s="45">
        <v>0.02</v>
      </c>
      <c r="J12" s="45">
        <v>2.5000000000000001E-2</v>
      </c>
      <c r="K12" s="45">
        <v>0.03</v>
      </c>
    </row>
    <row r="13" spans="2:11" ht="14.25" customHeight="1" x14ac:dyDescent="0.45">
      <c r="B13" t="s">
        <v>60</v>
      </c>
      <c r="C13" s="33">
        <f>K4*(1+C11)/(C12-C11)</f>
        <v>96520.82844725113</v>
      </c>
      <c r="E13" s="81" t="s">
        <v>59</v>
      </c>
      <c r="F13" s="45">
        <v>7.0000000000000007E-2</v>
      </c>
      <c r="G13" s="44">
        <f t="dataTable" ref="G13:K17" dt2D="1" dtr="1" r1="C11" r2="C12"/>
        <v>158.67438325457374</v>
      </c>
      <c r="H13" s="44">
        <v>170.09585194762232</v>
      </c>
      <c r="I13" s="44">
        <v>183.80161437928069</v>
      </c>
      <c r="J13" s="44">
        <v>200.55310179575199</v>
      </c>
      <c r="K13" s="44">
        <v>221.49246106634115</v>
      </c>
    </row>
    <row r="14" spans="2:11" ht="14.25" customHeight="1" x14ac:dyDescent="0.45">
      <c r="B14" t="s">
        <v>61</v>
      </c>
      <c r="C14" s="33">
        <f>C13/(1+C12)^(K6)</f>
        <v>65868.809742996818</v>
      </c>
      <c r="D14" s="33"/>
      <c r="E14" s="81"/>
      <c r="F14" s="45">
        <v>7.4999999999999997E-2</v>
      </c>
      <c r="G14" s="44">
        <v>146.52281982881232</v>
      </c>
      <c r="H14" s="46">
        <v>156.00858873857058</v>
      </c>
      <c r="I14" s="46">
        <v>167.21904290464855</v>
      </c>
      <c r="J14" s="46">
        <v>180.67158790394203</v>
      </c>
      <c r="K14" s="44">
        <v>197.11358734752301</v>
      </c>
    </row>
    <row r="15" spans="2:11" ht="14.25" customHeight="1" x14ac:dyDescent="0.45">
      <c r="B15" t="s">
        <v>62</v>
      </c>
      <c r="C15" s="33">
        <f>C14+C10</f>
        <v>86588.139049597114</v>
      </c>
      <c r="E15" s="81"/>
      <c r="F15" s="45">
        <v>7.9414499999999999E-2</v>
      </c>
      <c r="G15" s="44">
        <v>137.25165018404698</v>
      </c>
      <c r="H15" s="46">
        <v>145.3908961613939</v>
      </c>
      <c r="I15" s="47">
        <v>154.90005116386897</v>
      </c>
      <c r="J15" s="46">
        <v>166.15674680394508</v>
      </c>
      <c r="K15" s="44">
        <v>179.69145712393833</v>
      </c>
    </row>
    <row r="16" spans="2:11" ht="14.25" customHeight="1" x14ac:dyDescent="0.45">
      <c r="B16" s="19" t="s">
        <v>63</v>
      </c>
      <c r="C16" s="39">
        <f>'Balance Sheet'!E24</f>
        <v>7606</v>
      </c>
      <c r="E16" s="81"/>
      <c r="F16" s="45">
        <v>8.5000000000000006E-2</v>
      </c>
      <c r="G16" s="44">
        <v>127.08810742624753</v>
      </c>
      <c r="H16" s="46">
        <v>133.87846662185669</v>
      </c>
      <c r="I16" s="46">
        <v>141.71349646294422</v>
      </c>
      <c r="J16" s="46">
        <v>150.85436461087957</v>
      </c>
      <c r="K16" s="44">
        <v>161.65720878571233</v>
      </c>
    </row>
    <row r="17" spans="2:11" ht="14.25" customHeight="1" x14ac:dyDescent="0.45">
      <c r="B17" s="19" t="s">
        <v>64</v>
      </c>
      <c r="C17" s="33">
        <f>WACC!C4</f>
        <v>5989</v>
      </c>
      <c r="E17" s="81"/>
      <c r="F17" s="45">
        <v>0.09</v>
      </c>
      <c r="G17" s="44">
        <v>119.1962907161809</v>
      </c>
      <c r="H17" s="44">
        <v>125.02958332698036</v>
      </c>
      <c r="I17" s="44">
        <v>131.69620345360835</v>
      </c>
      <c r="J17" s="44">
        <v>139.38845744587135</v>
      </c>
      <c r="K17" s="44">
        <v>148.36275377017824</v>
      </c>
    </row>
    <row r="18" spans="2:11" ht="14.25" customHeight="1" x14ac:dyDescent="0.45">
      <c r="B18" s="19" t="s">
        <v>65</v>
      </c>
      <c r="C18" s="39">
        <f>'Balance Sheet'!E37</f>
        <v>67</v>
      </c>
    </row>
    <row r="19" spans="2:11" ht="14.25" customHeight="1" x14ac:dyDescent="0.45">
      <c r="B19" s="48" t="s">
        <v>66</v>
      </c>
      <c r="C19" s="49">
        <f>C15+C16-C17-C18</f>
        <v>88138.139049597114</v>
      </c>
    </row>
    <row r="20" spans="2:11" ht="14.25" customHeight="1" x14ac:dyDescent="0.45">
      <c r="B20" t="s">
        <v>67</v>
      </c>
      <c r="C20" s="50">
        <v>569</v>
      </c>
      <c r="D20" s="51" t="s">
        <v>68</v>
      </c>
    </row>
    <row r="21" spans="2:11" ht="14.25" customHeight="1" x14ac:dyDescent="0.45">
      <c r="B21" s="20" t="s">
        <v>69</v>
      </c>
      <c r="C21" s="52">
        <f>C19/C20</f>
        <v>154.90006862846593</v>
      </c>
      <c r="D21" t="s">
        <v>249</v>
      </c>
    </row>
    <row r="22" spans="2:11" ht="14.25" customHeight="1" x14ac:dyDescent="0.45"/>
    <row r="23" spans="2:11" ht="14.25" hidden="1" customHeight="1" outlineLevel="1" x14ac:dyDescent="0.45">
      <c r="B23" s="28" t="s">
        <v>70</v>
      </c>
    </row>
    <row r="24" spans="2:11" ht="14.25" hidden="1" customHeight="1" outlineLevel="1" x14ac:dyDescent="0.45">
      <c r="B24" s="53" t="s">
        <v>71</v>
      </c>
      <c r="D24" s="34">
        <f>'Free Cash Flow'!C10</f>
        <v>6504</v>
      </c>
      <c r="E24" s="34">
        <f>'Free Cash Flow'!D10</f>
        <v>6226</v>
      </c>
      <c r="F24" s="34">
        <f>'Free Cash Flow'!E10</f>
        <v>6027</v>
      </c>
      <c r="G24" s="34">
        <f>'Free Cash Flow'!F10</f>
        <v>6965.3744999999981</v>
      </c>
      <c r="H24" s="34">
        <f>'Free Cash Flow'!G10</f>
        <v>7360.8280200000008</v>
      </c>
      <c r="I24" s="34">
        <f>'Free Cash Flow'!H10</f>
        <v>7739.3848896</v>
      </c>
      <c r="J24" s="34">
        <f>'Free Cash Flow'!I10</f>
        <v>8096.1221618549971</v>
      </c>
      <c r="K24" s="34">
        <f>'Free Cash Flow'!J10</f>
        <v>8298.5252159013726</v>
      </c>
    </row>
    <row r="25" spans="2:11" ht="14.25" hidden="1" customHeight="1" outlineLevel="1" x14ac:dyDescent="0.45">
      <c r="B25" s="53" t="s">
        <v>28</v>
      </c>
      <c r="D25" s="29">
        <f>'Free Cash Flow'!C10/'Free Cash Flow'!C4</f>
        <v>0.32596602014734627</v>
      </c>
      <c r="E25" s="29">
        <f>'Free Cash Flow'!D10/'Free Cash Flow'!D4</f>
        <v>0.30199844780752816</v>
      </c>
      <c r="F25" s="29">
        <f>'Free Cash Flow'!E10/'Free Cash Flow'!E4</f>
        <v>0.28164867517173697</v>
      </c>
      <c r="G25" s="29">
        <f>'Free Cash Flow'!F10/'Free Cash Flow'!F4</f>
        <v>0.30999999999999989</v>
      </c>
      <c r="H25" s="29">
        <f>'Free Cash Flow'!G10/'Free Cash Flow'!G4</f>
        <v>0.315</v>
      </c>
      <c r="I25" s="29">
        <f>'Free Cash Flow'!H10/'Free Cash Flow'!H4</f>
        <v>0.32</v>
      </c>
      <c r="J25" s="29">
        <f>'Free Cash Flow'!I10/'Free Cash Flow'!I4</f>
        <v>0.32499999999999984</v>
      </c>
      <c r="K25" s="29">
        <f>'Free Cash Flow'!J10/'Free Cash Flow'!J4</f>
        <v>0.3249999999999999</v>
      </c>
    </row>
    <row r="26" spans="2:11" ht="14.25" hidden="1" customHeight="1" outlineLevel="1" x14ac:dyDescent="0.45">
      <c r="B26" s="53" t="s">
        <v>72</v>
      </c>
      <c r="D26" s="29">
        <f>'Free Cash Flow'!C21/'Free Cash Flow'!C4</f>
        <v>0.21244925575101489</v>
      </c>
      <c r="E26" s="29">
        <f>'Free Cash Flow'!D21/'Free Cash Flow'!D4</f>
        <v>0.15939076445479239</v>
      </c>
      <c r="F26" s="29">
        <f>'Free Cash Flow'!E21/'Free Cash Flow'!E4</f>
        <v>0.15944670311696807</v>
      </c>
      <c r="G26" s="29">
        <f>'Free Cash Flow'!F21/'Free Cash Flow'!F4</f>
        <v>0.22181592304778228</v>
      </c>
      <c r="H26" s="29">
        <f>'Free Cash Flow'!G21/'Free Cash Flow'!G4</f>
        <v>0.20729773467320309</v>
      </c>
      <c r="I26" s="29">
        <f>'Free Cash Flow'!H21/'Free Cash Flow'!H4</f>
        <v>0.21296582078201184</v>
      </c>
      <c r="J26" s="29">
        <f>'Free Cash Flow'!I21/'Free Cash Flow'!I4</f>
        <v>0.21864857598705079</v>
      </c>
      <c r="K26" s="29">
        <f>'Free Cash Flow'!J21/'Free Cash Flow'!J4</f>
        <v>0.2201890457609248</v>
      </c>
    </row>
    <row r="27" spans="2:11" ht="14.25" hidden="1" customHeight="1" outlineLevel="1" x14ac:dyDescent="0.45">
      <c r="B27" s="53" t="s">
        <v>73</v>
      </c>
      <c r="D27" s="29">
        <f>IF('Free Cash Flow'!C10=0,"-",'Free Cash Flow'!C21/'Free Cash Flow'!C10)</f>
        <v>0.6517527675276753</v>
      </c>
      <c r="E27" s="29">
        <f>IF('Free Cash Flow'!D10=0,"-",'Free Cash Flow'!D21/'Free Cash Flow'!D10)</f>
        <v>0.5277867009315772</v>
      </c>
      <c r="F27" s="29">
        <f>IF('Free Cash Flow'!E10=0,"-",'Free Cash Flow'!E21/'Free Cash Flow'!E10)</f>
        <v>0.56611913057906094</v>
      </c>
      <c r="G27" s="29">
        <f>IF('Free Cash Flow'!F10=0,"-",'Free Cash Flow'!F21/'Free Cash Flow'!F10)</f>
        <v>0.71553523563800758</v>
      </c>
      <c r="H27" s="29">
        <f>IF('Free Cash Flow'!G10=0,"-",'Free Cash Flow'!G21/'Free Cash Flow'!G10)</f>
        <v>0.65808804658159703</v>
      </c>
      <c r="I27" s="29">
        <f>IF('Free Cash Flow'!H10=0,"-",'Free Cash Flow'!H21/'Free Cash Flow'!H10)</f>
        <v>0.66551818994378709</v>
      </c>
      <c r="J27" s="29">
        <f>IF('Free Cash Flow'!I10=0,"-",'Free Cash Flow'!I21/'Free Cash Flow'!I10)</f>
        <v>0.67276484919092572</v>
      </c>
      <c r="K27" s="29">
        <f>IF('Free Cash Flow'!J10=0,"-",'Free Cash Flow'!J21/'Free Cash Flow'!J10)</f>
        <v>0.6775047561874612</v>
      </c>
    </row>
    <row r="28" spans="2:11" ht="14.25" customHeight="1" collapsed="1" x14ac:dyDescent="0.45"/>
    <row r="29" spans="2:11" ht="14.25" customHeight="1" x14ac:dyDescent="0.45">
      <c r="B29" s="31"/>
      <c r="C29" s="54"/>
    </row>
    <row r="30" spans="2:11" ht="14.25" customHeight="1" x14ac:dyDescent="0.45">
      <c r="B30" s="31"/>
      <c r="C30" s="54"/>
    </row>
    <row r="31" spans="2:11" ht="14.25" customHeight="1" x14ac:dyDescent="0.45"/>
    <row r="32" spans="2:11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4">
    <mergeCell ref="B9:C9"/>
    <mergeCell ref="E9:K9"/>
    <mergeCell ref="G11:K11"/>
    <mergeCell ref="E13:E17"/>
  </mergeCells>
  <pageMargins left="0.7" right="0.7" top="0.75" bottom="0.75" header="0.511811023622047" footer="0.511811023622047"/>
  <pageSetup orientation="portrait" horizontalDpi="300" verticalDpi="30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1000"/>
  <sheetViews>
    <sheetView showGridLines="0" zoomScaleNormal="100" workbookViewId="0">
      <selection activeCell="C33" sqref="C33"/>
    </sheetView>
  </sheetViews>
  <sheetFormatPr defaultColWidth="14.3984375" defaultRowHeight="14.25" x14ac:dyDescent="0.45"/>
  <cols>
    <col min="1" max="1" width="8.86328125" customWidth="1"/>
    <col min="2" max="2" width="40" customWidth="1"/>
    <col min="3" max="26" width="16" customWidth="1"/>
  </cols>
  <sheetData>
    <row r="1" spans="2:4" ht="14.25" customHeight="1" x14ac:dyDescent="0.45"/>
    <row r="2" spans="2:4" ht="14.25" customHeight="1" x14ac:dyDescent="0.45">
      <c r="B2" s="80" t="s">
        <v>74</v>
      </c>
      <c r="C2" s="80"/>
    </row>
    <row r="3" spans="2:4" ht="14.25" customHeight="1" x14ac:dyDescent="0.45">
      <c r="B3" t="s">
        <v>75</v>
      </c>
      <c r="C3" s="55">
        <v>70100</v>
      </c>
    </row>
    <row r="4" spans="2:4" ht="14.25" customHeight="1" x14ac:dyDescent="0.45">
      <c r="B4" t="s">
        <v>76</v>
      </c>
      <c r="C4" s="39">
        <f>'Balance Sheet'!E42+'Balance Sheet'!E53</f>
        <v>5989</v>
      </c>
      <c r="D4" s="51" t="s">
        <v>77</v>
      </c>
    </row>
    <row r="5" spans="2:4" ht="14.25" customHeight="1" x14ac:dyDescent="0.45"/>
    <row r="6" spans="2:4" ht="14.25" customHeight="1" x14ac:dyDescent="0.45">
      <c r="B6" t="s">
        <v>78</v>
      </c>
      <c r="C6" s="56">
        <v>3.7999999999999999E-2</v>
      </c>
      <c r="D6" s="57" t="s">
        <v>245</v>
      </c>
    </row>
    <row r="7" spans="2:4" ht="14.25" customHeight="1" x14ac:dyDescent="0.45">
      <c r="B7" t="s">
        <v>79</v>
      </c>
      <c r="C7" s="32">
        <f>'Free Cash Flow'!F30</f>
        <v>0.16856616058080323</v>
      </c>
    </row>
    <row r="8" spans="2:4" ht="14.25" customHeight="1" x14ac:dyDescent="0.45">
      <c r="B8" t="s">
        <v>80</v>
      </c>
      <c r="C8" s="32">
        <f>C4/SUM(C3:C4)</f>
        <v>7.8710457490570249E-2</v>
      </c>
    </row>
    <row r="9" spans="2:4" ht="14.25" customHeight="1" x14ac:dyDescent="0.45">
      <c r="B9" s="35" t="s">
        <v>81</v>
      </c>
      <c r="C9" s="58">
        <f>C6*(1-C7)</f>
        <v>3.1594485897929479E-2</v>
      </c>
    </row>
    <row r="10" spans="2:4" ht="14.25" customHeight="1" x14ac:dyDescent="0.45">
      <c r="B10" s="14"/>
      <c r="C10" s="59"/>
    </row>
    <row r="11" spans="2:4" ht="14.25" customHeight="1" x14ac:dyDescent="0.45">
      <c r="B11" t="s">
        <v>82</v>
      </c>
      <c r="C11" s="56">
        <v>0.03</v>
      </c>
      <c r="D11" s="57" t="s">
        <v>244</v>
      </c>
    </row>
    <row r="12" spans="2:4" ht="14.25" customHeight="1" x14ac:dyDescent="0.45">
      <c r="B12" t="s">
        <v>83</v>
      </c>
      <c r="C12" s="60">
        <v>8.5000000000000006E-2</v>
      </c>
    </row>
    <row r="13" spans="2:4" ht="14.25" customHeight="1" x14ac:dyDescent="0.45">
      <c r="B13" t="s">
        <v>246</v>
      </c>
      <c r="C13" s="56">
        <v>0.05</v>
      </c>
      <c r="D13" s="57"/>
    </row>
    <row r="14" spans="2:4" ht="14.25" customHeight="1" x14ac:dyDescent="0.45">
      <c r="B14" t="s">
        <v>84</v>
      </c>
      <c r="C14" s="61">
        <v>1.07</v>
      </c>
      <c r="D14" s="57"/>
    </row>
    <row r="15" spans="2:4" ht="14.25" customHeight="1" x14ac:dyDescent="0.45">
      <c r="B15" t="s">
        <v>85</v>
      </c>
      <c r="C15" s="32">
        <f>C3/SUM(C3:C4)</f>
        <v>0.92128954250942974</v>
      </c>
    </row>
    <row r="16" spans="2:4" ht="14.25" customHeight="1" x14ac:dyDescent="0.45">
      <c r="B16" s="35" t="s">
        <v>86</v>
      </c>
      <c r="C16" s="58">
        <f>C11+C14*(C13)</f>
        <v>8.3500000000000005E-2</v>
      </c>
    </row>
    <row r="17" spans="2:4" ht="14.25" customHeight="1" x14ac:dyDescent="0.45"/>
    <row r="18" spans="2:4" ht="14.25" customHeight="1" x14ac:dyDescent="0.45">
      <c r="B18" s="20" t="s">
        <v>59</v>
      </c>
      <c r="C18" s="62">
        <f>C9*C8+C16*C15</f>
        <v>7.9414493238742778E-2</v>
      </c>
    </row>
    <row r="19" spans="2:4" ht="14.25" customHeight="1" x14ac:dyDescent="0.45"/>
    <row r="20" spans="2:4" ht="14.25" customHeight="1" x14ac:dyDescent="0.45">
      <c r="B20" s="28" t="s">
        <v>87</v>
      </c>
    </row>
    <row r="21" spans="2:4" ht="14.25" customHeight="1" x14ac:dyDescent="0.45">
      <c r="B21" t="s">
        <v>88</v>
      </c>
      <c r="C21" s="60">
        <v>8.5000000000000006E-2</v>
      </c>
      <c r="D21" s="63"/>
    </row>
    <row r="22" spans="2:4" ht="14.25" customHeight="1" x14ac:dyDescent="0.45">
      <c r="B22" t="s">
        <v>89</v>
      </c>
      <c r="C22" s="60">
        <v>0.09</v>
      </c>
      <c r="D22" s="63"/>
    </row>
    <row r="23" spans="2:4" ht="14.25" customHeight="1" x14ac:dyDescent="0.45">
      <c r="B23" t="s">
        <v>90</v>
      </c>
      <c r="C23" s="32">
        <f>C18</f>
        <v>7.9414493238742778E-2</v>
      </c>
    </row>
    <row r="24" spans="2:4" ht="14.25" customHeight="1" x14ac:dyDescent="0.45"/>
    <row r="25" spans="2:4" ht="14.25" customHeight="1" x14ac:dyDescent="0.45"/>
    <row r="26" spans="2:4" ht="14.25" customHeight="1" x14ac:dyDescent="0.45">
      <c r="B26" s="28" t="s">
        <v>91</v>
      </c>
    </row>
    <row r="27" spans="2:4" ht="14.25" customHeight="1" x14ac:dyDescent="0.45">
      <c r="B27" s="31" t="s">
        <v>92</v>
      </c>
      <c r="C27" s="64">
        <f>C11</f>
        <v>0.03</v>
      </c>
    </row>
    <row r="28" spans="2:4" ht="14.25" customHeight="1" x14ac:dyDescent="0.45">
      <c r="B28" s="31" t="s">
        <v>93</v>
      </c>
      <c r="C28" s="64">
        <f>C14*C13</f>
        <v>5.3500000000000006E-2</v>
      </c>
    </row>
    <row r="29" spans="2:4" ht="14.25" customHeight="1" x14ac:dyDescent="0.45">
      <c r="B29" s="31" t="s">
        <v>94</v>
      </c>
      <c r="C29" s="64">
        <f>C16</f>
        <v>8.3500000000000005E-2</v>
      </c>
    </row>
    <row r="30" spans="2:4" ht="14.25" customHeight="1" x14ac:dyDescent="0.45">
      <c r="B30" s="31" t="s">
        <v>95</v>
      </c>
      <c r="C30" s="64">
        <f>C9</f>
        <v>3.1594485897929479E-2</v>
      </c>
    </row>
    <row r="31" spans="2:4" ht="14.25" customHeight="1" x14ac:dyDescent="0.45">
      <c r="B31" s="31" t="s">
        <v>96</v>
      </c>
      <c r="C31" s="64">
        <f>C15</f>
        <v>0.92128954250942974</v>
      </c>
    </row>
    <row r="32" spans="2:4" ht="14.25" customHeight="1" x14ac:dyDescent="0.45">
      <c r="B32" s="31" t="s">
        <v>97</v>
      </c>
      <c r="C32" s="64">
        <f>C8</f>
        <v>7.8710457490570249E-2</v>
      </c>
    </row>
    <row r="33" spans="2:3" ht="14.25" customHeight="1" x14ac:dyDescent="0.45">
      <c r="B33" s="31" t="s">
        <v>59</v>
      </c>
      <c r="C33" s="65">
        <f>C18</f>
        <v>7.9414493238742778E-2</v>
      </c>
    </row>
    <row r="34" spans="2:3" ht="14.25" customHeight="1" x14ac:dyDescent="0.45"/>
    <row r="35" spans="2:3" ht="14.25" customHeight="1" x14ac:dyDescent="0.45"/>
    <row r="36" spans="2:3" ht="14.25" customHeight="1" x14ac:dyDescent="0.45"/>
    <row r="37" spans="2:3" ht="14.25" customHeight="1" x14ac:dyDescent="0.45"/>
    <row r="38" spans="2:3" ht="14.25" customHeight="1" x14ac:dyDescent="0.45"/>
    <row r="39" spans="2:3" ht="14.25" customHeight="1" x14ac:dyDescent="0.45"/>
    <row r="40" spans="2:3" ht="14.25" customHeight="1" x14ac:dyDescent="0.45"/>
    <row r="41" spans="2:3" ht="14.25" customHeight="1" x14ac:dyDescent="0.45"/>
    <row r="42" spans="2:3" ht="14.25" customHeight="1" x14ac:dyDescent="0.45"/>
    <row r="43" spans="2:3" ht="14.25" customHeight="1" x14ac:dyDescent="0.45"/>
    <row r="44" spans="2:3" ht="14.25" customHeight="1" x14ac:dyDescent="0.45"/>
    <row r="45" spans="2:3" ht="14.25" customHeight="1" x14ac:dyDescent="0.45"/>
    <row r="46" spans="2:3" ht="14.25" customHeight="1" x14ac:dyDescent="0.45"/>
    <row r="47" spans="2:3" ht="14.25" customHeight="1" x14ac:dyDescent="0.45"/>
    <row r="48" spans="2:3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1">
    <mergeCell ref="B2:C2"/>
  </mergeCells>
  <pageMargins left="0.7" right="0.7" top="0.75" bottom="0.75" header="0.511811023622047" footer="0.511811023622047"/>
  <pageSetup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A1000"/>
  <sheetViews>
    <sheetView zoomScaleNormal="100" workbookViewId="0"/>
  </sheetViews>
  <sheetFormatPr defaultColWidth="14.3984375" defaultRowHeight="14.25" x14ac:dyDescent="0.45"/>
  <cols>
    <col min="1" max="26" width="8.86328125" customWidth="1"/>
  </cols>
  <sheetData>
    <row r="1" ht="14.25" customHeight="1" x14ac:dyDescent="0.45"/>
    <row r="2" ht="14.25" customHeight="1" x14ac:dyDescent="0.45"/>
    <row r="3" ht="14.25" customHeight="1" x14ac:dyDescent="0.45"/>
    <row r="4" ht="14.25" customHeight="1" x14ac:dyDescent="0.45"/>
    <row r="5" ht="14.25" customHeight="1" x14ac:dyDescent="0.45"/>
    <row r="6" ht="14.25" customHeight="1" x14ac:dyDescent="0.45"/>
    <row r="7" ht="14.25" customHeight="1" x14ac:dyDescent="0.45"/>
    <row r="8" ht="14.25" customHeight="1" x14ac:dyDescent="0.45"/>
    <row r="9" ht="14.25" customHeight="1" x14ac:dyDescent="0.45"/>
    <row r="10" ht="14.25" customHeight="1" x14ac:dyDescent="0.45"/>
    <row r="11" ht="14.25" customHeight="1" x14ac:dyDescent="0.45"/>
    <row r="12" ht="14.25" customHeight="1" x14ac:dyDescent="0.45"/>
    <row r="13" ht="14.25" customHeight="1" x14ac:dyDescent="0.45"/>
    <row r="14" ht="14.25" customHeight="1" x14ac:dyDescent="0.45"/>
    <row r="15" ht="14.25" customHeight="1" x14ac:dyDescent="0.45"/>
    <row r="16" ht="14.25" customHeight="1" x14ac:dyDescent="0.45"/>
    <row r="17" ht="14.25" customHeight="1" x14ac:dyDescent="0.45"/>
    <row r="18" ht="14.25" customHeight="1" x14ac:dyDescent="0.45"/>
    <row r="19" ht="14.25" customHeight="1" x14ac:dyDescent="0.45"/>
    <row r="20" ht="14.25" customHeight="1" x14ac:dyDescent="0.45"/>
    <row r="21" ht="14.25" customHeight="1" x14ac:dyDescent="0.45"/>
    <row r="22" ht="14.25" customHeight="1" x14ac:dyDescent="0.45"/>
    <row r="23" ht="14.25" customHeight="1" x14ac:dyDescent="0.45"/>
    <row r="24" ht="14.25" customHeight="1" x14ac:dyDescent="0.45"/>
    <row r="25" ht="14.25" customHeight="1" x14ac:dyDescent="0.45"/>
    <row r="26" ht="14.25" customHeight="1" x14ac:dyDescent="0.45"/>
    <row r="27" ht="14.25" customHeight="1" x14ac:dyDescent="0.45"/>
    <row r="28" ht="14.25" customHeight="1" x14ac:dyDescent="0.45"/>
    <row r="29" ht="14.25" customHeight="1" x14ac:dyDescent="0.45"/>
    <row r="30" ht="14.25" customHeight="1" x14ac:dyDescent="0.45"/>
    <row r="31" ht="14.25" customHeight="1" x14ac:dyDescent="0.45"/>
    <row r="32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pageMargins left="0.7" right="0.7" top="0.75" bottom="0.75" header="0.511811023622047" footer="0.511811023622047"/>
  <pageSetup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7"/>
  <sheetViews>
    <sheetView zoomScaleNormal="100" workbookViewId="0">
      <pane xSplit="1" ySplit="4" topLeftCell="B38" activePane="bottomRight" state="frozen"/>
      <selection pane="topRight" activeCell="B1" sqref="B1"/>
      <selection pane="bottomLeft" activeCell="A38" sqref="A38"/>
      <selection pane="bottomRight" activeCell="C47" sqref="C47"/>
    </sheetView>
  </sheetViews>
  <sheetFormatPr defaultColWidth="8.6640625" defaultRowHeight="14.25" x14ac:dyDescent="0.45"/>
  <cols>
    <col min="1" max="1" width="38" style="1" customWidth="1"/>
    <col min="2" max="5" width="14" style="1" customWidth="1"/>
    <col min="6" max="16384" width="8.6640625" style="1"/>
  </cols>
  <sheetData>
    <row r="1" spans="1:5" ht="15" customHeight="1" x14ac:dyDescent="0.45">
      <c r="A1" s="83" t="s">
        <v>98</v>
      </c>
      <c r="B1" s="83"/>
      <c r="C1" s="83"/>
      <c r="D1" s="83"/>
      <c r="E1" s="83"/>
    </row>
    <row r="2" spans="1:5" ht="15" customHeight="1" x14ac:dyDescent="0.45">
      <c r="A2" s="84" t="s">
        <v>99</v>
      </c>
      <c r="B2" s="84"/>
      <c r="C2" s="84"/>
      <c r="D2" s="84"/>
      <c r="E2" s="84"/>
    </row>
    <row r="4" spans="1:5" ht="15" customHeight="1" x14ac:dyDescent="0.45">
      <c r="A4" s="66"/>
      <c r="B4" s="66" t="s">
        <v>100</v>
      </c>
      <c r="C4" s="66" t="s">
        <v>101</v>
      </c>
      <c r="D4" s="66" t="s">
        <v>102</v>
      </c>
      <c r="E4" s="66" t="s">
        <v>103</v>
      </c>
    </row>
    <row r="5" spans="1:5" ht="15" customHeight="1" x14ac:dyDescent="0.45">
      <c r="A5" s="67" t="s">
        <v>2</v>
      </c>
      <c r="B5" s="68">
        <v>16748</v>
      </c>
      <c r="C5" s="68">
        <v>19953</v>
      </c>
      <c r="D5" s="68">
        <v>20616</v>
      </c>
      <c r="E5" s="68">
        <v>21399</v>
      </c>
    </row>
    <row r="6" spans="1:5" ht="15" customHeight="1" x14ac:dyDescent="0.45">
      <c r="A6" s="69" t="s">
        <v>104</v>
      </c>
      <c r="B6" s="70">
        <v>-5572</v>
      </c>
      <c r="C6" s="70">
        <v>-6237</v>
      </c>
      <c r="D6" s="70">
        <v>-6580</v>
      </c>
      <c r="E6" s="70">
        <v>-7080</v>
      </c>
    </row>
    <row r="7" spans="1:5" ht="15" customHeight="1" x14ac:dyDescent="0.45">
      <c r="A7" s="67" t="s">
        <v>105</v>
      </c>
      <c r="B7" s="71">
        <v>11176</v>
      </c>
      <c r="C7" s="71">
        <v>13716</v>
      </c>
      <c r="D7" s="71">
        <v>14036</v>
      </c>
      <c r="E7" s="71">
        <v>14319</v>
      </c>
    </row>
    <row r="9" spans="1:5" ht="15" customHeight="1" x14ac:dyDescent="0.45">
      <c r="A9" s="72" t="s">
        <v>106</v>
      </c>
      <c r="B9" s="73"/>
      <c r="C9" s="73"/>
      <c r="D9" s="73"/>
      <c r="E9" s="73"/>
    </row>
    <row r="10" spans="1:5" ht="15" customHeight="1" x14ac:dyDescent="0.45">
      <c r="A10" s="74" t="s">
        <v>107</v>
      </c>
      <c r="B10" s="70">
        <v>-3930</v>
      </c>
      <c r="C10" s="70">
        <v>-4683</v>
      </c>
      <c r="D10" s="70">
        <v>-5244</v>
      </c>
      <c r="E10" s="70">
        <v>-5631</v>
      </c>
    </row>
    <row r="11" spans="1:5" ht="15" customHeight="1" x14ac:dyDescent="0.45">
      <c r="A11" s="74" t="s">
        <v>108</v>
      </c>
      <c r="B11" s="70">
        <v>-1655</v>
      </c>
      <c r="C11" s="70">
        <v>-1940</v>
      </c>
      <c r="D11" s="70">
        <v>-2006</v>
      </c>
      <c r="E11" s="70">
        <v>-2093</v>
      </c>
    </row>
    <row r="12" spans="1:5" ht="15" customHeight="1" x14ac:dyDescent="0.45">
      <c r="A12" s="74" t="s">
        <v>109</v>
      </c>
      <c r="B12" s="70">
        <v>-216</v>
      </c>
      <c r="C12" s="70">
        <v>-257</v>
      </c>
      <c r="D12" s="70"/>
      <c r="E12" s="70"/>
    </row>
    <row r="13" spans="1:5" ht="15" customHeight="1" x14ac:dyDescent="0.45">
      <c r="A13" s="74" t="s">
        <v>110</v>
      </c>
      <c r="B13" s="70">
        <v>-1423</v>
      </c>
      <c r="C13" s="70">
        <v>-1702</v>
      </c>
      <c r="D13" s="70">
        <v>-1889</v>
      </c>
      <c r="E13" s="70">
        <v>-1991</v>
      </c>
    </row>
    <row r="14" spans="1:5" ht="15" customHeight="1" x14ac:dyDescent="0.45">
      <c r="A14" s="74" t="s">
        <v>111</v>
      </c>
      <c r="B14" s="70">
        <v>-199</v>
      </c>
      <c r="C14" s="70">
        <v>-103</v>
      </c>
      <c r="D14" s="70">
        <v>-103</v>
      </c>
      <c r="E14" s="70">
        <v>-137</v>
      </c>
    </row>
    <row r="15" spans="1:5" ht="15" customHeight="1" x14ac:dyDescent="0.45">
      <c r="A15" s="67" t="s">
        <v>112</v>
      </c>
      <c r="B15" s="71">
        <v>-7423</v>
      </c>
      <c r="C15" s="71">
        <v>-8685</v>
      </c>
      <c r="D15" s="71">
        <v>-9242</v>
      </c>
      <c r="E15" s="71">
        <v>-9852</v>
      </c>
    </row>
    <row r="17" spans="1:5" ht="15" customHeight="1" x14ac:dyDescent="0.45">
      <c r="A17" s="67" t="s">
        <v>113</v>
      </c>
      <c r="B17" s="71">
        <v>3753</v>
      </c>
      <c r="C17" s="71">
        <v>5031</v>
      </c>
      <c r="D17" s="71">
        <v>4794</v>
      </c>
      <c r="E17" s="71">
        <v>4467</v>
      </c>
    </row>
    <row r="19" spans="1:5" ht="15" customHeight="1" x14ac:dyDescent="0.45">
      <c r="A19" s="72" t="s">
        <v>114</v>
      </c>
      <c r="B19" s="73"/>
      <c r="C19" s="73"/>
      <c r="D19" s="73"/>
      <c r="E19" s="73"/>
    </row>
    <row r="20" spans="1:5" ht="15" customHeight="1" x14ac:dyDescent="0.45">
      <c r="A20" s="74" t="s">
        <v>115</v>
      </c>
      <c r="B20" s="70">
        <v>-956</v>
      </c>
      <c r="C20" s="70">
        <v>-597</v>
      </c>
      <c r="D20" s="70">
        <v>-787</v>
      </c>
      <c r="E20" s="70">
        <v>-792</v>
      </c>
    </row>
    <row r="21" spans="1:5" ht="15" customHeight="1" x14ac:dyDescent="0.45">
      <c r="A21" s="74" t="s">
        <v>116</v>
      </c>
      <c r="B21" s="70">
        <v>115</v>
      </c>
      <c r="C21" s="70">
        <v>283</v>
      </c>
      <c r="D21" s="70">
        <v>609</v>
      </c>
      <c r="E21" s="70">
        <v>739</v>
      </c>
    </row>
    <row r="22" spans="1:5" ht="15" customHeight="1" x14ac:dyDescent="0.45">
      <c r="A22" s="75" t="s">
        <v>117</v>
      </c>
      <c r="B22" s="68">
        <v>-841</v>
      </c>
      <c r="C22" s="68">
        <v>-314</v>
      </c>
      <c r="D22" s="68">
        <v>-178</v>
      </c>
      <c r="E22" s="68">
        <v>-53</v>
      </c>
    </row>
    <row r="23" spans="1:5" ht="15" customHeight="1" x14ac:dyDescent="0.45">
      <c r="A23" s="74" t="s">
        <v>118</v>
      </c>
      <c r="B23" s="70">
        <v>31</v>
      </c>
      <c r="C23" s="70">
        <v>41</v>
      </c>
      <c r="D23" s="70">
        <v>39</v>
      </c>
      <c r="E23" s="70">
        <v>75</v>
      </c>
    </row>
    <row r="25" spans="1:5" ht="15" customHeight="1" x14ac:dyDescent="0.45">
      <c r="A25" s="67" t="s">
        <v>119</v>
      </c>
      <c r="B25" s="71">
        <v>2943</v>
      </c>
      <c r="C25" s="71">
        <v>4758</v>
      </c>
      <c r="D25" s="71">
        <v>4655</v>
      </c>
      <c r="E25" s="71">
        <v>4489</v>
      </c>
    </row>
    <row r="26" spans="1:5" ht="15" customHeight="1" x14ac:dyDescent="0.45">
      <c r="A26" s="69" t="s">
        <v>120</v>
      </c>
      <c r="B26" s="70">
        <v>-494</v>
      </c>
      <c r="C26" s="70">
        <v>-847</v>
      </c>
      <c r="D26" s="70">
        <v>-837</v>
      </c>
      <c r="E26" s="70">
        <v>-727</v>
      </c>
    </row>
    <row r="27" spans="1:5" ht="15" customHeight="1" x14ac:dyDescent="0.45">
      <c r="A27" s="67" t="s">
        <v>121</v>
      </c>
      <c r="B27" s="71">
        <v>2449</v>
      </c>
      <c r="C27" s="71">
        <v>3911</v>
      </c>
      <c r="D27" s="71">
        <v>3818</v>
      </c>
      <c r="E27" s="71">
        <v>3762</v>
      </c>
    </row>
    <row r="28" spans="1:5" ht="15" customHeight="1" x14ac:dyDescent="0.45">
      <c r="A28" s="69" t="s">
        <v>122</v>
      </c>
      <c r="B28" s="70">
        <v>-370</v>
      </c>
      <c r="C28" s="70">
        <v>-3610</v>
      </c>
      <c r="D28" s="70">
        <v>-1463</v>
      </c>
      <c r="E28" s="70">
        <v>-1012</v>
      </c>
    </row>
    <row r="30" spans="1:5" ht="15" customHeight="1" x14ac:dyDescent="0.45">
      <c r="A30" s="67" t="s">
        <v>123</v>
      </c>
      <c r="B30" s="71">
        <v>2079</v>
      </c>
      <c r="C30" s="71">
        <v>301</v>
      </c>
      <c r="D30" s="71">
        <v>2355</v>
      </c>
      <c r="E30" s="71">
        <v>2750</v>
      </c>
    </row>
    <row r="32" spans="1:5" ht="15" customHeight="1" x14ac:dyDescent="0.45">
      <c r="A32" s="72" t="s">
        <v>124</v>
      </c>
      <c r="B32" s="73"/>
      <c r="C32" s="73"/>
      <c r="D32" s="73"/>
      <c r="E32" s="73"/>
    </row>
    <row r="33" spans="1:5" ht="15" customHeight="1" x14ac:dyDescent="0.45">
      <c r="A33" s="74" t="s">
        <v>125</v>
      </c>
      <c r="B33" s="70">
        <v>2074</v>
      </c>
      <c r="C33" s="70">
        <v>313</v>
      </c>
      <c r="D33" s="70">
        <v>2362</v>
      </c>
      <c r="E33" s="70">
        <v>2751</v>
      </c>
    </row>
    <row r="34" spans="1:5" ht="15" customHeight="1" x14ac:dyDescent="0.45">
      <c r="A34" s="74" t="s">
        <v>126</v>
      </c>
      <c r="B34" s="70">
        <v>5</v>
      </c>
      <c r="C34" s="70">
        <v>-12</v>
      </c>
      <c r="D34" s="70">
        <v>-7</v>
      </c>
      <c r="E34" s="70">
        <v>-1</v>
      </c>
    </row>
    <row r="37" spans="1:5" ht="15" customHeight="1" x14ac:dyDescent="0.45">
      <c r="A37" s="72" t="s">
        <v>127</v>
      </c>
      <c r="B37" s="73"/>
      <c r="C37" s="73"/>
      <c r="D37" s="73"/>
      <c r="E37" s="73"/>
    </row>
    <row r="38" spans="1:5" ht="15" customHeight="1" x14ac:dyDescent="0.45">
      <c r="A38" s="74" t="s">
        <v>128</v>
      </c>
      <c r="B38" s="76">
        <v>0.66730355863386703</v>
      </c>
      <c r="C38" s="76">
        <v>0.68741542625169205</v>
      </c>
      <c r="D38" s="76">
        <v>0.680830422972449</v>
      </c>
      <c r="E38" s="76">
        <v>0.66914341791672505</v>
      </c>
    </row>
    <row r="39" spans="1:5" ht="15" customHeight="1" x14ac:dyDescent="0.45">
      <c r="A39" s="74" t="s">
        <v>129</v>
      </c>
      <c r="B39" s="76">
        <v>0.224086458084547</v>
      </c>
      <c r="C39" s="76">
        <v>0.252142534957149</v>
      </c>
      <c r="D39" s="76">
        <v>0.23253783469150199</v>
      </c>
      <c r="E39" s="76">
        <v>0.20874807233982901</v>
      </c>
    </row>
    <row r="40" spans="1:5" ht="15" customHeight="1" x14ac:dyDescent="0.45">
      <c r="A40" s="74" t="s">
        <v>130</v>
      </c>
      <c r="B40" s="76">
        <v>0.124134224982087</v>
      </c>
      <c r="C40" s="76">
        <v>1.5085450809402099E-2</v>
      </c>
      <c r="D40" s="76">
        <v>0.114231664726426</v>
      </c>
      <c r="E40" s="76">
        <v>0.12851067806906899</v>
      </c>
    </row>
    <row r="42" spans="1:5" ht="9.75" customHeight="1" x14ac:dyDescent="0.45">
      <c r="A42" s="85"/>
      <c r="B42" s="85"/>
      <c r="C42" s="85"/>
      <c r="D42" s="85"/>
      <c r="E42" s="85"/>
    </row>
    <row r="43" spans="1:5" ht="18" customHeight="1" x14ac:dyDescent="0.45">
      <c r="A43" s="82" t="s">
        <v>131</v>
      </c>
      <c r="B43" s="82"/>
      <c r="C43" s="82"/>
      <c r="D43" s="82"/>
      <c r="E43" s="82"/>
    </row>
    <row r="44" spans="1:5" ht="18" customHeight="1" x14ac:dyDescent="0.45">
      <c r="A44" s="53" t="s">
        <v>132</v>
      </c>
      <c r="B44" s="70">
        <v>504</v>
      </c>
      <c r="C44" s="70">
        <v>547</v>
      </c>
      <c r="D44" s="70">
        <v>579</v>
      </c>
      <c r="E44" s="70">
        <v>633</v>
      </c>
    </row>
    <row r="45" spans="1:5" ht="18" customHeight="1" x14ac:dyDescent="0.45">
      <c r="A45" s="53" t="s">
        <v>133</v>
      </c>
      <c r="B45" s="70">
        <v>697</v>
      </c>
      <c r="C45" s="70">
        <v>739</v>
      </c>
      <c r="D45" s="70">
        <v>758</v>
      </c>
      <c r="E45" s="70">
        <v>818</v>
      </c>
    </row>
    <row r="46" spans="1:5" ht="18" customHeight="1" x14ac:dyDescent="0.45">
      <c r="A46" s="53" t="s">
        <v>134</v>
      </c>
      <c r="B46" s="70">
        <v>3</v>
      </c>
      <c r="C46" s="70">
        <v>1</v>
      </c>
      <c r="D46" s="70">
        <v>2</v>
      </c>
      <c r="E46" s="70">
        <v>1</v>
      </c>
    </row>
    <row r="47" spans="1:5" ht="18" customHeight="1" x14ac:dyDescent="0.45">
      <c r="A47" s="53" t="s">
        <v>135</v>
      </c>
      <c r="B47" s="70">
        <v>349</v>
      </c>
      <c r="C47" s="70">
        <v>186</v>
      </c>
      <c r="D47" s="70">
        <v>93</v>
      </c>
      <c r="E47" s="70">
        <v>108</v>
      </c>
    </row>
    <row r="48" spans="1:5" ht="18" customHeight="1" x14ac:dyDescent="0.45">
      <c r="A48" s="82" t="s">
        <v>136</v>
      </c>
      <c r="B48" s="82"/>
      <c r="C48" s="82"/>
      <c r="D48" s="82"/>
      <c r="E48" s="82"/>
    </row>
    <row r="49" spans="1:5" ht="18" customHeight="1" x14ac:dyDescent="0.45">
      <c r="A49" s="53" t="s">
        <v>137</v>
      </c>
      <c r="B49" s="70">
        <v>19</v>
      </c>
      <c r="C49" s="70">
        <v>1</v>
      </c>
      <c r="D49" s="70">
        <v>3</v>
      </c>
      <c r="E49" s="70">
        <v>3</v>
      </c>
    </row>
    <row r="50" spans="1:5" ht="18" customHeight="1" x14ac:dyDescent="0.45">
      <c r="A50" s="53" t="s">
        <v>138</v>
      </c>
      <c r="B50" s="70">
        <v>36</v>
      </c>
      <c r="C50" s="70">
        <v>0</v>
      </c>
      <c r="D50" s="70">
        <v>11</v>
      </c>
      <c r="E50" s="70">
        <v>0</v>
      </c>
    </row>
    <row r="51" spans="1:5" ht="18" customHeight="1" x14ac:dyDescent="0.45">
      <c r="A51" s="53" t="s">
        <v>139</v>
      </c>
      <c r="B51" s="70">
        <v>0</v>
      </c>
      <c r="C51" s="70">
        <v>55</v>
      </c>
      <c r="D51" s="70">
        <v>19</v>
      </c>
      <c r="E51" s="70">
        <v>20</v>
      </c>
    </row>
    <row r="52" spans="1:5" ht="18" customHeight="1" x14ac:dyDescent="0.45">
      <c r="A52" s="53" t="s">
        <v>140</v>
      </c>
      <c r="B52" s="70">
        <v>0</v>
      </c>
      <c r="C52" s="70">
        <v>0</v>
      </c>
      <c r="D52" s="70">
        <v>34</v>
      </c>
      <c r="E52" s="70">
        <v>0</v>
      </c>
    </row>
    <row r="53" spans="1:5" ht="18" customHeight="1" x14ac:dyDescent="0.45">
      <c r="A53" s="82" t="s">
        <v>141</v>
      </c>
      <c r="B53" s="82"/>
      <c r="C53" s="82"/>
      <c r="D53" s="82"/>
      <c r="E53" s="82"/>
    </row>
    <row r="54" spans="1:5" ht="18" customHeight="1" x14ac:dyDescent="0.45">
      <c r="B54" s="77">
        <f>B56+B55</f>
        <v>-5870</v>
      </c>
      <c r="C54" s="77">
        <f>C56+C55</f>
        <v>-7212</v>
      </c>
      <c r="D54" s="77">
        <f>D56+D55</f>
        <v>-7810</v>
      </c>
      <c r="E54" s="77">
        <f>E56+E55</f>
        <v>-8292</v>
      </c>
    </row>
    <row r="55" spans="1:5" ht="18" customHeight="1" x14ac:dyDescent="0.45">
      <c r="A55" s="53" t="s">
        <v>142</v>
      </c>
      <c r="B55" s="70">
        <f>SUM(B44:B47)</f>
        <v>1553</v>
      </c>
      <c r="C55" s="70">
        <f>SUM(C44:C47)</f>
        <v>1473</v>
      </c>
      <c r="D55" s="70">
        <f>SUM(D44:D47)</f>
        <v>1432</v>
      </c>
      <c r="E55" s="70">
        <f>SUM(E44:E47)</f>
        <v>1560</v>
      </c>
    </row>
    <row r="56" spans="1:5" ht="14.25" customHeight="1" x14ac:dyDescent="0.45">
      <c r="B56" s="77">
        <f>SUM(B10:B14)</f>
        <v>-7423</v>
      </c>
      <c r="C56" s="77">
        <f>SUM(C10:C14)</f>
        <v>-8685</v>
      </c>
      <c r="D56" s="77">
        <f>SUM(D10:D14)</f>
        <v>-9242</v>
      </c>
      <c r="E56" s="77">
        <f>SUM(E10:E14)</f>
        <v>-9852</v>
      </c>
    </row>
    <row r="57" spans="1:5" ht="14.25" customHeight="1" x14ac:dyDescent="0.45">
      <c r="A57" s="2" t="s">
        <v>143</v>
      </c>
    </row>
  </sheetData>
  <mergeCells count="6">
    <mergeCell ref="A53:E53"/>
    <mergeCell ref="A1:E1"/>
    <mergeCell ref="A2:E2"/>
    <mergeCell ref="A42:E42"/>
    <mergeCell ref="A43:E43"/>
    <mergeCell ref="A48:E48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6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36" sqref="A36"/>
      <selection pane="bottomRight" activeCell="H15" sqref="H15"/>
    </sheetView>
  </sheetViews>
  <sheetFormatPr defaultColWidth="8.6640625" defaultRowHeight="14.25" x14ac:dyDescent="0.45"/>
  <cols>
    <col min="1" max="1" width="42" style="1" customWidth="1"/>
    <col min="2" max="5" width="14" style="1" customWidth="1"/>
    <col min="6" max="16384" width="8.6640625" style="1"/>
  </cols>
  <sheetData>
    <row r="1" spans="1:5" ht="15" customHeight="1" x14ac:dyDescent="0.45">
      <c r="A1" s="83" t="s">
        <v>144</v>
      </c>
      <c r="B1" s="83"/>
      <c r="C1" s="83"/>
      <c r="D1" s="83"/>
      <c r="E1" s="83"/>
    </row>
    <row r="2" spans="1:5" ht="14.25" customHeight="1" x14ac:dyDescent="0.45">
      <c r="A2" s="84" t="s">
        <v>145</v>
      </c>
      <c r="B2" s="84"/>
      <c r="C2" s="84"/>
      <c r="D2" s="84"/>
      <c r="E2" s="84"/>
    </row>
    <row r="4" spans="1:5" ht="14.25" customHeight="1" x14ac:dyDescent="0.45">
      <c r="A4" s="66"/>
      <c r="B4" s="66" t="s">
        <v>100</v>
      </c>
      <c r="C4" s="66" t="s">
        <v>101</v>
      </c>
      <c r="D4" s="66" t="s">
        <v>102</v>
      </c>
      <c r="E4" s="66" t="s">
        <v>103</v>
      </c>
    </row>
    <row r="5" spans="1:5" ht="14.25" customHeight="1" x14ac:dyDescent="0.45">
      <c r="A5" s="72" t="s">
        <v>146</v>
      </c>
      <c r="B5" s="73"/>
      <c r="C5" s="73"/>
      <c r="D5" s="73"/>
      <c r="E5" s="73"/>
    </row>
    <row r="6" spans="1:5" ht="14.25" customHeight="1" x14ac:dyDescent="0.45">
      <c r="A6" s="74" t="s">
        <v>147</v>
      </c>
      <c r="B6" s="70">
        <v>3122</v>
      </c>
      <c r="C6" s="70">
        <v>3343</v>
      </c>
      <c r="D6" s="70">
        <v>3637</v>
      </c>
      <c r="E6" s="70">
        <v>4049</v>
      </c>
    </row>
    <row r="7" spans="1:5" ht="14.25" customHeight="1" x14ac:dyDescent="0.45">
      <c r="A7" s="74" t="s">
        <v>148</v>
      </c>
      <c r="B7" s="70">
        <v>3538</v>
      </c>
      <c r="C7" s="70">
        <v>610</v>
      </c>
      <c r="D7" s="70">
        <v>759</v>
      </c>
      <c r="E7" s="70">
        <v>819</v>
      </c>
    </row>
    <row r="8" spans="1:5" ht="14.25" customHeight="1" x14ac:dyDescent="0.45">
      <c r="A8" s="74" t="s">
        <v>149</v>
      </c>
      <c r="B8" s="70">
        <v>2342</v>
      </c>
      <c r="C8" s="70">
        <v>497</v>
      </c>
      <c r="D8" s="70">
        <v>680</v>
      </c>
      <c r="E8" s="70">
        <v>730</v>
      </c>
    </row>
    <row r="9" spans="1:5" ht="14.25" customHeight="1" x14ac:dyDescent="0.45">
      <c r="A9" s="74" t="s">
        <v>150</v>
      </c>
      <c r="B9" s="70">
        <v>3468</v>
      </c>
      <c r="C9" s="70">
        <v>3565</v>
      </c>
      <c r="D9" s="70">
        <v>3932</v>
      </c>
      <c r="E9" s="70">
        <v>4219</v>
      </c>
    </row>
    <row r="10" spans="1:5" ht="14.25" customHeight="1" x14ac:dyDescent="0.45">
      <c r="A10" s="74" t="s">
        <v>151</v>
      </c>
      <c r="B10" s="70"/>
      <c r="C10" s="70">
        <v>34</v>
      </c>
      <c r="D10" s="70">
        <v>32</v>
      </c>
      <c r="E10" s="70">
        <v>222</v>
      </c>
    </row>
    <row r="11" spans="1:5" ht="14.25" customHeight="1" x14ac:dyDescent="0.45">
      <c r="A11" s="74" t="s">
        <v>152</v>
      </c>
      <c r="B11" s="70">
        <v>252</v>
      </c>
      <c r="C11" s="70">
        <v>599</v>
      </c>
      <c r="D11" s="70">
        <v>656</v>
      </c>
      <c r="E11" s="70">
        <v>667</v>
      </c>
    </row>
    <row r="12" spans="1:5" ht="14.25" customHeight="1" x14ac:dyDescent="0.45">
      <c r="A12" s="74" t="s">
        <v>153</v>
      </c>
      <c r="B12" s="70">
        <v>754</v>
      </c>
      <c r="C12" s="70">
        <v>752</v>
      </c>
      <c r="D12" s="70">
        <v>888</v>
      </c>
      <c r="E12" s="70">
        <v>1047</v>
      </c>
    </row>
    <row r="13" spans="1:5" ht="14.25" customHeight="1" x14ac:dyDescent="0.45">
      <c r="A13" s="74" t="s">
        <v>154</v>
      </c>
      <c r="B13" s="70">
        <v>325</v>
      </c>
      <c r="C13" s="70">
        <v>289</v>
      </c>
      <c r="D13" s="70">
        <v>5</v>
      </c>
      <c r="E13" s="70">
        <v>5</v>
      </c>
    </row>
    <row r="14" spans="1:5" ht="14.25" customHeight="1" x14ac:dyDescent="0.45">
      <c r="A14" s="74" t="s">
        <v>155</v>
      </c>
      <c r="B14" s="70">
        <v>280</v>
      </c>
      <c r="C14" s="70">
        <v>301</v>
      </c>
      <c r="D14" s="70">
        <v>284</v>
      </c>
      <c r="E14" s="70">
        <v>296</v>
      </c>
    </row>
    <row r="15" spans="1:5" ht="14.25" customHeight="1" x14ac:dyDescent="0.45">
      <c r="A15" s="74" t="s">
        <v>156</v>
      </c>
      <c r="B15" s="70">
        <v>521</v>
      </c>
      <c r="C15" s="70">
        <v>529</v>
      </c>
      <c r="D15" s="70">
        <v>576</v>
      </c>
      <c r="E15" s="70">
        <v>620</v>
      </c>
    </row>
    <row r="16" spans="1:5" ht="14.25" customHeight="1" x14ac:dyDescent="0.45">
      <c r="A16" s="67" t="s">
        <v>157</v>
      </c>
      <c r="B16" s="71">
        <v>14602</v>
      </c>
      <c r="C16" s="71">
        <v>10519</v>
      </c>
      <c r="D16" s="71">
        <v>11449</v>
      </c>
      <c r="E16" s="71">
        <v>12674</v>
      </c>
    </row>
    <row r="18" spans="1:5" ht="14.25" customHeight="1" x14ac:dyDescent="0.45">
      <c r="A18" s="72" t="s">
        <v>158</v>
      </c>
      <c r="B18" s="73"/>
      <c r="C18" s="73"/>
      <c r="D18" s="73"/>
      <c r="E18" s="73"/>
    </row>
    <row r="19" spans="1:5" ht="14.25" customHeight="1" x14ac:dyDescent="0.45">
      <c r="A19" s="74" t="s">
        <v>159</v>
      </c>
      <c r="B19" s="70">
        <v>7099</v>
      </c>
      <c r="C19" s="70">
        <v>7096</v>
      </c>
      <c r="D19" s="70">
        <v>7980</v>
      </c>
      <c r="E19" s="78">
        <v>8629</v>
      </c>
    </row>
    <row r="20" spans="1:5" ht="14.25" customHeight="1" x14ac:dyDescent="0.45">
      <c r="A20" s="74" t="s">
        <v>160</v>
      </c>
      <c r="B20" s="70">
        <v>1662</v>
      </c>
      <c r="C20" s="70">
        <v>1708</v>
      </c>
      <c r="D20" s="70">
        <v>1910</v>
      </c>
      <c r="E20" s="70">
        <v>1897</v>
      </c>
    </row>
    <row r="21" spans="1:5" ht="14.25" customHeight="1" x14ac:dyDescent="0.45">
      <c r="A21" s="74" t="s">
        <v>161</v>
      </c>
      <c r="B21" s="70">
        <v>55</v>
      </c>
      <c r="C21" s="70">
        <v>103</v>
      </c>
      <c r="D21" s="70">
        <v>67</v>
      </c>
      <c r="E21" s="70">
        <v>38</v>
      </c>
    </row>
    <row r="22" spans="1:5" ht="14.25" customHeight="1" x14ac:dyDescent="0.45">
      <c r="A22" s="74" t="s">
        <v>162</v>
      </c>
      <c r="B22" s="70">
        <v>6632</v>
      </c>
      <c r="C22" s="70">
        <v>7401</v>
      </c>
      <c r="D22" s="70">
        <v>8784</v>
      </c>
      <c r="E22" s="70">
        <v>9162</v>
      </c>
    </row>
    <row r="23" spans="1:5" ht="14.25" customHeight="1" x14ac:dyDescent="0.45">
      <c r="A23" s="74" t="s">
        <v>163</v>
      </c>
      <c r="B23" s="70">
        <v>59</v>
      </c>
      <c r="C23" s="70">
        <v>3124</v>
      </c>
      <c r="D23" s="70">
        <v>1781</v>
      </c>
      <c r="E23" s="70">
        <v>616</v>
      </c>
    </row>
    <row r="24" spans="1:5" ht="14.25" customHeight="1" x14ac:dyDescent="0.45">
      <c r="A24" s="74" t="s">
        <v>164</v>
      </c>
      <c r="B24" s="70">
        <v>9877</v>
      </c>
      <c r="C24" s="70">
        <v>10936</v>
      </c>
      <c r="D24" s="70">
        <v>10710</v>
      </c>
      <c r="E24" s="70">
        <v>7606</v>
      </c>
    </row>
    <row r="25" spans="1:5" ht="14.25" customHeight="1" x14ac:dyDescent="0.45">
      <c r="A25" s="67" t="s">
        <v>165</v>
      </c>
      <c r="B25" s="71">
        <v>25384</v>
      </c>
      <c r="C25" s="71">
        <v>30368</v>
      </c>
      <c r="D25" s="71">
        <v>31232</v>
      </c>
      <c r="E25" s="71">
        <v>28332</v>
      </c>
    </row>
    <row r="27" spans="1:5" ht="14.25" customHeight="1" x14ac:dyDescent="0.45">
      <c r="A27" s="67" t="s">
        <v>166</v>
      </c>
      <c r="B27" s="71">
        <v>39986</v>
      </c>
      <c r="C27" s="71">
        <v>40887</v>
      </c>
      <c r="D27" s="71">
        <v>42681</v>
      </c>
      <c r="E27" s="71">
        <v>41006</v>
      </c>
    </row>
    <row r="30" spans="1:5" ht="14.25" customHeight="1" x14ac:dyDescent="0.45">
      <c r="A30" s="72" t="s">
        <v>167</v>
      </c>
      <c r="B30" s="73"/>
      <c r="C30" s="73"/>
      <c r="D30" s="73"/>
      <c r="E30" s="73"/>
    </row>
    <row r="31" spans="1:5" ht="14.25" customHeight="1" x14ac:dyDescent="0.45">
      <c r="A31" s="74" t="s">
        <v>168</v>
      </c>
      <c r="B31" s="70">
        <v>334</v>
      </c>
      <c r="C31" s="70">
        <v>334</v>
      </c>
      <c r="D31" s="70">
        <v>352</v>
      </c>
      <c r="E31" s="70">
        <v>352</v>
      </c>
    </row>
    <row r="32" spans="1:5" ht="14.25" customHeight="1" x14ac:dyDescent="0.45">
      <c r="A32" s="74" t="s">
        <v>169</v>
      </c>
      <c r="B32" s="70"/>
      <c r="C32" s="70"/>
      <c r="D32" s="70">
        <v>1162</v>
      </c>
      <c r="E32" s="70">
        <v>1162</v>
      </c>
    </row>
    <row r="33" spans="1:5" ht="14.25" customHeight="1" x14ac:dyDescent="0.45">
      <c r="A33" s="74" t="s">
        <v>170</v>
      </c>
      <c r="B33" s="70">
        <v>-478</v>
      </c>
      <c r="C33" s="70">
        <v>-305</v>
      </c>
      <c r="D33" s="70">
        <v>-461</v>
      </c>
      <c r="E33" s="70">
        <v>-295</v>
      </c>
    </row>
    <row r="34" spans="1:5" ht="14.25" customHeight="1" x14ac:dyDescent="0.45">
      <c r="A34" s="74" t="s">
        <v>171</v>
      </c>
      <c r="B34" s="70">
        <v>3876</v>
      </c>
      <c r="C34" s="70">
        <v>4305</v>
      </c>
      <c r="D34" s="70">
        <v>4689</v>
      </c>
      <c r="E34" s="70">
        <v>5016</v>
      </c>
    </row>
    <row r="35" spans="1:5" ht="14.25" customHeight="1" x14ac:dyDescent="0.45">
      <c r="A35" s="74" t="s">
        <v>172</v>
      </c>
      <c r="B35" s="70">
        <v>16082</v>
      </c>
      <c r="C35" s="70">
        <v>14625</v>
      </c>
      <c r="D35" s="70">
        <v>14779</v>
      </c>
      <c r="E35" s="70">
        <v>15864</v>
      </c>
    </row>
    <row r="36" spans="1:5" ht="14.25" customHeight="1" x14ac:dyDescent="0.45">
      <c r="A36" s="67" t="s">
        <v>173</v>
      </c>
      <c r="B36" s="71">
        <v>19814</v>
      </c>
      <c r="C36" s="71">
        <v>18959</v>
      </c>
      <c r="D36" s="71">
        <v>20521</v>
      </c>
      <c r="E36" s="71">
        <v>22099</v>
      </c>
    </row>
    <row r="37" spans="1:5" ht="14.25" customHeight="1" x14ac:dyDescent="0.45">
      <c r="A37" s="74" t="s">
        <v>126</v>
      </c>
      <c r="B37" s="70">
        <v>49</v>
      </c>
      <c r="C37" s="70">
        <v>60</v>
      </c>
      <c r="D37" s="70">
        <v>114</v>
      </c>
      <c r="E37" s="70">
        <v>67</v>
      </c>
    </row>
    <row r="38" spans="1:5" ht="14.25" customHeight="1" x14ac:dyDescent="0.45">
      <c r="A38" s="67" t="s">
        <v>174</v>
      </c>
      <c r="B38" s="71">
        <v>19863</v>
      </c>
      <c r="C38" s="71">
        <v>19019</v>
      </c>
      <c r="D38" s="71">
        <v>20635</v>
      </c>
      <c r="E38" s="71">
        <v>22166</v>
      </c>
    </row>
    <row r="41" spans="1:5" ht="14.25" customHeight="1" x14ac:dyDescent="0.45">
      <c r="A41" s="72" t="s">
        <v>175</v>
      </c>
      <c r="B41" s="73"/>
      <c r="C41" s="73"/>
      <c r="D41" s="73"/>
      <c r="E41" s="73"/>
    </row>
    <row r="42" spans="1:5" ht="14.25" customHeight="1" x14ac:dyDescent="0.45">
      <c r="A42" s="74" t="s">
        <v>176</v>
      </c>
      <c r="B42" s="70">
        <v>5948</v>
      </c>
      <c r="C42" s="70">
        <v>5954</v>
      </c>
      <c r="D42" s="70">
        <v>5972</v>
      </c>
      <c r="E42" s="70">
        <v>4487</v>
      </c>
    </row>
    <row r="43" spans="1:5" ht="14.25" customHeight="1" x14ac:dyDescent="0.45">
      <c r="A43" s="74" t="s">
        <v>177</v>
      </c>
      <c r="B43" s="70">
        <v>3101</v>
      </c>
      <c r="C43" s="70">
        <v>3239</v>
      </c>
      <c r="D43" s="70">
        <v>3615</v>
      </c>
      <c r="E43" s="70">
        <v>3836</v>
      </c>
    </row>
    <row r="44" spans="1:5" ht="14.25" customHeight="1" x14ac:dyDescent="0.45">
      <c r="A44" s="74" t="s">
        <v>178</v>
      </c>
      <c r="B44" s="70">
        <v>325</v>
      </c>
      <c r="C44" s="70">
        <v>129</v>
      </c>
      <c r="D44" s="70">
        <v>265</v>
      </c>
      <c r="E44" s="70">
        <v>313</v>
      </c>
    </row>
    <row r="45" spans="1:5" ht="14.25" customHeight="1" x14ac:dyDescent="0.45">
      <c r="A45" s="74" t="s">
        <v>179</v>
      </c>
      <c r="B45" s="70">
        <v>61</v>
      </c>
      <c r="C45" s="70">
        <v>65</v>
      </c>
      <c r="D45" s="70">
        <v>62</v>
      </c>
      <c r="E45" s="70">
        <v>70</v>
      </c>
    </row>
    <row r="46" spans="1:5" ht="14.25" customHeight="1" x14ac:dyDescent="0.45">
      <c r="A46" s="74" t="s">
        <v>180</v>
      </c>
      <c r="B46" s="70">
        <v>74</v>
      </c>
      <c r="C46" s="70">
        <v>90</v>
      </c>
      <c r="D46" s="70">
        <v>84</v>
      </c>
      <c r="E46" s="70">
        <v>120</v>
      </c>
    </row>
    <row r="47" spans="1:5" ht="14.25" customHeight="1" x14ac:dyDescent="0.45">
      <c r="A47" s="74" t="s">
        <v>181</v>
      </c>
      <c r="B47" s="70">
        <v>107</v>
      </c>
      <c r="C47" s="70">
        <v>83</v>
      </c>
      <c r="D47" s="70">
        <v>256</v>
      </c>
      <c r="E47" s="70">
        <v>239</v>
      </c>
    </row>
    <row r="48" spans="1:5" ht="14.25" customHeight="1" x14ac:dyDescent="0.45">
      <c r="A48" s="67" t="s">
        <v>182</v>
      </c>
      <c r="B48" s="71">
        <v>9616</v>
      </c>
      <c r="C48" s="71">
        <v>9560</v>
      </c>
      <c r="D48" s="71">
        <v>10254</v>
      </c>
      <c r="E48" s="71">
        <v>9065</v>
      </c>
    </row>
    <row r="50" spans="1:5" ht="14.25" customHeight="1" x14ac:dyDescent="0.45">
      <c r="A50" s="72" t="s">
        <v>183</v>
      </c>
      <c r="B50" s="73"/>
      <c r="C50" s="73"/>
      <c r="D50" s="73"/>
      <c r="E50" s="73"/>
    </row>
    <row r="51" spans="1:5" ht="14.25" customHeight="1" x14ac:dyDescent="0.45">
      <c r="A51" s="74" t="s">
        <v>184</v>
      </c>
      <c r="B51" s="70">
        <v>3351</v>
      </c>
      <c r="C51" s="70">
        <v>2960</v>
      </c>
      <c r="D51" s="70">
        <v>2964</v>
      </c>
      <c r="E51" s="70">
        <v>3079</v>
      </c>
    </row>
    <row r="52" spans="1:5" ht="14.25" customHeight="1" x14ac:dyDescent="0.45">
      <c r="A52" s="74" t="s">
        <v>185</v>
      </c>
      <c r="B52" s="70">
        <v>724</v>
      </c>
      <c r="C52" s="70">
        <v>861</v>
      </c>
      <c r="D52" s="70">
        <v>923</v>
      </c>
      <c r="E52" s="70">
        <v>869</v>
      </c>
    </row>
    <row r="53" spans="1:5" ht="14.25" customHeight="1" x14ac:dyDescent="0.45">
      <c r="A53" s="74" t="s">
        <v>186</v>
      </c>
      <c r="B53" s="70">
        <v>1</v>
      </c>
      <c r="C53" s="70">
        <v>1</v>
      </c>
      <c r="D53" s="70">
        <v>7</v>
      </c>
      <c r="E53" s="70">
        <v>1502</v>
      </c>
    </row>
    <row r="54" spans="1:5" ht="14.25" customHeight="1" x14ac:dyDescent="0.45">
      <c r="A54" s="74" t="s">
        <v>187</v>
      </c>
      <c r="B54" s="70">
        <v>647</v>
      </c>
      <c r="C54" s="70">
        <v>644</v>
      </c>
      <c r="D54" s="70">
        <v>673</v>
      </c>
      <c r="E54" s="70">
        <v>767</v>
      </c>
    </row>
    <row r="55" spans="1:5" ht="14.25" customHeight="1" x14ac:dyDescent="0.45">
      <c r="A55" s="74" t="s">
        <v>188</v>
      </c>
      <c r="B55" s="70">
        <v>150</v>
      </c>
      <c r="C55" s="70">
        <v>7</v>
      </c>
      <c r="D55" s="70">
        <v>107</v>
      </c>
      <c r="E55" s="70">
        <v>74</v>
      </c>
    </row>
    <row r="56" spans="1:5" ht="14.25" customHeight="1" x14ac:dyDescent="0.45">
      <c r="A56" s="74" t="s">
        <v>189</v>
      </c>
      <c r="B56" s="70">
        <v>325</v>
      </c>
      <c r="C56" s="70">
        <v>201</v>
      </c>
      <c r="D56" s="70">
        <v>197</v>
      </c>
      <c r="E56" s="70">
        <v>255</v>
      </c>
    </row>
    <row r="57" spans="1:5" ht="14.25" customHeight="1" x14ac:dyDescent="0.45">
      <c r="A57" s="74" t="s">
        <v>190</v>
      </c>
      <c r="B57" s="70"/>
      <c r="C57" s="70">
        <v>1801</v>
      </c>
      <c r="D57" s="70">
        <v>856</v>
      </c>
      <c r="E57" s="70">
        <v>707</v>
      </c>
    </row>
    <row r="58" spans="1:5" ht="14.25" customHeight="1" x14ac:dyDescent="0.45">
      <c r="A58" s="74" t="s">
        <v>191</v>
      </c>
      <c r="B58" s="70">
        <v>5309</v>
      </c>
      <c r="C58" s="70">
        <v>5833</v>
      </c>
      <c r="D58" s="70">
        <v>6065</v>
      </c>
      <c r="E58" s="70">
        <v>2522</v>
      </c>
    </row>
    <row r="59" spans="1:5" ht="14.25" customHeight="1" x14ac:dyDescent="0.45">
      <c r="A59" s="67" t="s">
        <v>192</v>
      </c>
      <c r="B59" s="71">
        <v>10507</v>
      </c>
      <c r="C59" s="71">
        <v>12308</v>
      </c>
      <c r="D59" s="71">
        <v>11792</v>
      </c>
      <c r="E59" s="71">
        <v>9775</v>
      </c>
    </row>
    <row r="61" spans="1:5" ht="14.25" customHeight="1" x14ac:dyDescent="0.45">
      <c r="A61" s="67" t="s">
        <v>193</v>
      </c>
      <c r="B61" s="71">
        <v>20123</v>
      </c>
      <c r="C61" s="71">
        <v>21868</v>
      </c>
      <c r="D61" s="71">
        <v>22046</v>
      </c>
      <c r="E61" s="71">
        <v>18840</v>
      </c>
    </row>
    <row r="63" spans="1:5" ht="14.25" customHeight="1" x14ac:dyDescent="0.45">
      <c r="A63" s="67" t="s">
        <v>194</v>
      </c>
      <c r="B63" s="71">
        <v>39986</v>
      </c>
      <c r="C63" s="71">
        <v>40887</v>
      </c>
      <c r="D63" s="71">
        <v>42681</v>
      </c>
      <c r="E63" s="71">
        <v>41006</v>
      </c>
    </row>
    <row r="65" spans="1:5" ht="14.25" customHeight="1" x14ac:dyDescent="0.45">
      <c r="A65" s="86" t="s">
        <v>195</v>
      </c>
      <c r="B65" s="86"/>
      <c r="C65" s="86"/>
      <c r="D65" s="86"/>
      <c r="E65" s="86"/>
    </row>
  </sheetData>
  <mergeCells count="3">
    <mergeCell ref="A1:E1"/>
    <mergeCell ref="A2:E2"/>
    <mergeCell ref="A65:E65"/>
  </mergeCells>
  <pageMargins left="0.75" right="0.75" top="1" bottom="1" header="0.511811023622047" footer="0.511811023622047"/>
  <pageSetup paperSize="9" orientation="portrait" horizontalDpi="300" verticalDpi="30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58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8" sqref="A58:E58"/>
    </sheetView>
  </sheetViews>
  <sheetFormatPr defaultColWidth="8.6640625" defaultRowHeight="14.25" x14ac:dyDescent="0.45"/>
  <cols>
    <col min="1" max="1" width="50" style="1" customWidth="1"/>
    <col min="2" max="5" width="14" style="1" customWidth="1"/>
    <col min="6" max="16384" width="8.6640625" style="1"/>
  </cols>
  <sheetData>
    <row r="1" spans="1:5" ht="15" customHeight="1" x14ac:dyDescent="0.45">
      <c r="A1" s="83" t="s">
        <v>196</v>
      </c>
      <c r="B1" s="83"/>
      <c r="C1" s="83"/>
      <c r="D1" s="83"/>
      <c r="E1" s="83"/>
    </row>
    <row r="2" spans="1:5" ht="14.25" customHeight="1" x14ac:dyDescent="0.45">
      <c r="A2" s="84" t="s">
        <v>99</v>
      </c>
      <c r="B2" s="84"/>
      <c r="C2" s="84"/>
      <c r="D2" s="84"/>
      <c r="E2" s="84"/>
    </row>
    <row r="4" spans="1:5" ht="14.25" customHeight="1" x14ac:dyDescent="0.45">
      <c r="A4" s="66"/>
      <c r="B4" s="66" t="s">
        <v>100</v>
      </c>
      <c r="C4" s="66" t="s">
        <v>101</v>
      </c>
      <c r="D4" s="66" t="s">
        <v>102</v>
      </c>
      <c r="E4" s="66" t="s">
        <v>103</v>
      </c>
    </row>
    <row r="5" spans="1:5" ht="14.25" customHeight="1" x14ac:dyDescent="0.45">
      <c r="A5" s="72" t="s">
        <v>197</v>
      </c>
      <c r="B5" s="73"/>
      <c r="C5" s="73"/>
      <c r="D5" s="73"/>
      <c r="E5" s="73"/>
    </row>
    <row r="6" spans="1:5" ht="14.25" customHeight="1" x14ac:dyDescent="0.45">
      <c r="A6" s="74" t="s">
        <v>198</v>
      </c>
      <c r="B6" s="70">
        <v>3753</v>
      </c>
      <c r="C6" s="70">
        <v>5031</v>
      </c>
      <c r="D6" s="70">
        <v>4794</v>
      </c>
      <c r="E6" s="70">
        <v>4467</v>
      </c>
    </row>
    <row r="7" spans="1:5" ht="14.25" customHeight="1" x14ac:dyDescent="0.45">
      <c r="A7" s="74" t="s">
        <v>199</v>
      </c>
      <c r="B7" s="70">
        <v>-363</v>
      </c>
      <c r="C7" s="70">
        <v>-3639</v>
      </c>
      <c r="D7" s="70">
        <v>-1435</v>
      </c>
      <c r="E7" s="70">
        <v>-1033</v>
      </c>
    </row>
    <row r="8" spans="1:5" ht="14.25" customHeight="1" x14ac:dyDescent="0.45">
      <c r="A8" s="74" t="s">
        <v>200</v>
      </c>
      <c r="B8" s="70">
        <v>1703</v>
      </c>
      <c r="C8" s="70">
        <v>5092</v>
      </c>
      <c r="D8" s="70">
        <v>2859</v>
      </c>
      <c r="E8" s="70">
        <v>2676</v>
      </c>
    </row>
    <row r="9" spans="1:5" ht="14.25" customHeight="1" x14ac:dyDescent="0.45">
      <c r="A9" s="74" t="s">
        <v>201</v>
      </c>
      <c r="B9" s="70">
        <v>81</v>
      </c>
      <c r="C9" s="70">
        <v>-1167</v>
      </c>
      <c r="D9" s="70">
        <v>-651</v>
      </c>
      <c r="E9" s="70">
        <v>-693</v>
      </c>
    </row>
    <row r="10" spans="1:5" ht="14.25" customHeight="1" x14ac:dyDescent="0.45">
      <c r="A10" s="67" t="s">
        <v>202</v>
      </c>
      <c r="B10" s="71">
        <v>5174</v>
      </c>
      <c r="C10" s="71">
        <v>5317</v>
      </c>
      <c r="D10" s="71">
        <v>5567</v>
      </c>
      <c r="E10" s="71">
        <v>5417</v>
      </c>
    </row>
    <row r="11" spans="1:5" ht="14.25" customHeight="1" x14ac:dyDescent="0.45">
      <c r="A11" s="74" t="s">
        <v>203</v>
      </c>
      <c r="B11" s="70">
        <v>102</v>
      </c>
      <c r="C11" s="70">
        <v>210</v>
      </c>
      <c r="D11" s="70">
        <v>413</v>
      </c>
      <c r="E11" s="70">
        <v>440</v>
      </c>
    </row>
    <row r="12" spans="1:5" ht="14.25" customHeight="1" x14ac:dyDescent="0.45">
      <c r="A12" s="74" t="s">
        <v>204</v>
      </c>
      <c r="B12" s="70">
        <v>-210</v>
      </c>
      <c r="C12" s="70">
        <v>-304</v>
      </c>
      <c r="D12" s="70">
        <v>-451</v>
      </c>
      <c r="E12" s="70">
        <v>-488</v>
      </c>
    </row>
    <row r="13" spans="1:5" ht="14.25" customHeight="1" x14ac:dyDescent="0.45">
      <c r="A13" s="74" t="s">
        <v>205</v>
      </c>
      <c r="B13" s="70">
        <v>6</v>
      </c>
      <c r="C13" s="70">
        <v>2</v>
      </c>
      <c r="D13" s="70">
        <v>1</v>
      </c>
      <c r="E13" s="70">
        <v>4</v>
      </c>
    </row>
    <row r="14" spans="1:5" ht="14.25" customHeight="1" x14ac:dyDescent="0.45">
      <c r="A14" s="74" t="s">
        <v>206</v>
      </c>
      <c r="B14" s="70"/>
      <c r="C14" s="70"/>
      <c r="D14" s="70"/>
      <c r="E14" s="70">
        <v>7</v>
      </c>
    </row>
    <row r="15" spans="1:5" ht="14.25" customHeight="1" x14ac:dyDescent="0.45">
      <c r="A15" s="74" t="s">
        <v>207</v>
      </c>
      <c r="B15" s="70">
        <v>-434</v>
      </c>
      <c r="C15" s="70">
        <v>-734</v>
      </c>
      <c r="D15" s="70">
        <v>-834</v>
      </c>
      <c r="E15" s="70">
        <v>-937</v>
      </c>
    </row>
    <row r="16" spans="1:5" ht="14.25" customHeight="1" x14ac:dyDescent="0.45">
      <c r="A16" s="67" t="s">
        <v>208</v>
      </c>
      <c r="B16" s="71">
        <v>4638</v>
      </c>
      <c r="C16" s="71">
        <v>4491</v>
      </c>
      <c r="D16" s="71">
        <v>4696</v>
      </c>
      <c r="E16" s="71">
        <v>4443</v>
      </c>
    </row>
    <row r="19" spans="1:5" ht="14.25" customHeight="1" x14ac:dyDescent="0.45">
      <c r="A19" s="72" t="s">
        <v>209</v>
      </c>
      <c r="B19" s="73"/>
      <c r="C19" s="73"/>
      <c r="D19" s="73"/>
      <c r="E19" s="73"/>
    </row>
    <row r="20" spans="1:5" ht="14.25" customHeight="1" x14ac:dyDescent="0.45">
      <c r="A20" s="74" t="s">
        <v>210</v>
      </c>
      <c r="B20" s="70">
        <v>-195</v>
      </c>
      <c r="C20" s="70">
        <v>-49</v>
      </c>
      <c r="D20" s="70">
        <v>-306</v>
      </c>
      <c r="E20" s="70">
        <v>-135</v>
      </c>
    </row>
    <row r="21" spans="1:5" ht="14.25" customHeight="1" x14ac:dyDescent="0.45">
      <c r="A21" s="74" t="s">
        <v>211</v>
      </c>
      <c r="B21" s="70">
        <v>1</v>
      </c>
      <c r="C21" s="70">
        <v>1</v>
      </c>
      <c r="D21" s="70"/>
      <c r="E21" s="70"/>
    </row>
    <row r="22" spans="1:5" ht="14.25" customHeight="1" x14ac:dyDescent="0.45">
      <c r="A22" s="74" t="s">
        <v>212</v>
      </c>
      <c r="B22" s="70">
        <v>-104</v>
      </c>
      <c r="C22" s="70">
        <v>-330</v>
      </c>
      <c r="D22" s="70">
        <v>-11</v>
      </c>
      <c r="E22" s="70">
        <v>-3</v>
      </c>
    </row>
    <row r="23" spans="1:5" ht="14.25" customHeight="1" x14ac:dyDescent="0.45">
      <c r="A23" s="74" t="s">
        <v>213</v>
      </c>
      <c r="B23" s="70">
        <v>63</v>
      </c>
      <c r="C23" s="70"/>
      <c r="D23" s="70"/>
      <c r="E23" s="70">
        <v>51</v>
      </c>
    </row>
    <row r="24" spans="1:5" ht="14.25" customHeight="1" x14ac:dyDescent="0.45">
      <c r="A24" s="74" t="s">
        <v>214</v>
      </c>
      <c r="B24" s="70">
        <v>-754</v>
      </c>
      <c r="C24" s="70">
        <v>-857</v>
      </c>
      <c r="D24" s="70">
        <v>-873</v>
      </c>
      <c r="E24" s="70">
        <v>-1040</v>
      </c>
    </row>
    <row r="25" spans="1:5" ht="14.25" customHeight="1" x14ac:dyDescent="0.45">
      <c r="A25" s="74" t="s">
        <v>215</v>
      </c>
      <c r="B25" s="70">
        <v>18</v>
      </c>
      <c r="C25" s="70">
        <v>19</v>
      </c>
      <c r="D25" s="70">
        <v>8</v>
      </c>
      <c r="E25" s="70">
        <v>5</v>
      </c>
    </row>
    <row r="26" spans="1:5" ht="14.25" customHeight="1" x14ac:dyDescent="0.45">
      <c r="A26" s="74" t="s">
        <v>216</v>
      </c>
      <c r="B26" s="70">
        <v>-4</v>
      </c>
      <c r="C26" s="70">
        <v>-3</v>
      </c>
      <c r="D26" s="70">
        <v>-11</v>
      </c>
      <c r="E26" s="70">
        <v>-14</v>
      </c>
    </row>
    <row r="27" spans="1:5" ht="14.25" customHeight="1" x14ac:dyDescent="0.45">
      <c r="A27" s="74" t="s">
        <v>217</v>
      </c>
      <c r="B27" s="70">
        <v>-117</v>
      </c>
      <c r="C27" s="70">
        <v>-124</v>
      </c>
      <c r="D27" s="70">
        <v>-137</v>
      </c>
      <c r="E27" s="70">
        <v>-126</v>
      </c>
    </row>
    <row r="28" spans="1:5" ht="14.25" customHeight="1" x14ac:dyDescent="0.45">
      <c r="A28" s="74" t="s">
        <v>218</v>
      </c>
      <c r="B28" s="70"/>
      <c r="C28" s="70"/>
      <c r="D28" s="70"/>
      <c r="E28" s="70">
        <v>6</v>
      </c>
    </row>
    <row r="29" spans="1:5" ht="14.25" customHeight="1" x14ac:dyDescent="0.45">
      <c r="A29" s="74" t="s">
        <v>219</v>
      </c>
      <c r="B29" s="70"/>
      <c r="C29" s="70"/>
      <c r="D29" s="70"/>
      <c r="E29" s="70">
        <v>-187</v>
      </c>
    </row>
    <row r="30" spans="1:5" ht="14.25" customHeight="1" x14ac:dyDescent="0.45">
      <c r="A30" s="74" t="s">
        <v>220</v>
      </c>
      <c r="B30" s="70">
        <v>86</v>
      </c>
      <c r="C30" s="70"/>
      <c r="D30" s="70"/>
      <c r="E30" s="70"/>
    </row>
    <row r="31" spans="1:5" ht="14.25" customHeight="1" x14ac:dyDescent="0.45">
      <c r="A31" s="74" t="s">
        <v>221</v>
      </c>
      <c r="B31" s="70">
        <v>-13698</v>
      </c>
      <c r="C31" s="70">
        <v>-15239</v>
      </c>
      <c r="D31" s="70">
        <v>-18718</v>
      </c>
      <c r="E31" s="70">
        <v>-20000</v>
      </c>
    </row>
    <row r="32" spans="1:5" ht="14.25" customHeight="1" x14ac:dyDescent="0.45">
      <c r="A32" s="74" t="s">
        <v>222</v>
      </c>
      <c r="B32" s="70">
        <v>12654</v>
      </c>
      <c r="C32" s="70">
        <v>14553</v>
      </c>
      <c r="D32" s="70">
        <v>17537</v>
      </c>
      <c r="E32" s="70">
        <v>19925</v>
      </c>
    </row>
    <row r="33" spans="1:5" ht="14.25" customHeight="1" x14ac:dyDescent="0.45">
      <c r="A33" s="74" t="s">
        <v>223</v>
      </c>
      <c r="B33" s="70">
        <v>-252</v>
      </c>
      <c r="C33" s="70">
        <v>-57</v>
      </c>
      <c r="D33" s="70">
        <v>-68</v>
      </c>
      <c r="E33" s="70">
        <v>-56</v>
      </c>
    </row>
    <row r="34" spans="1:5" ht="14.25" customHeight="1" x14ac:dyDescent="0.45">
      <c r="A34" s="74" t="s">
        <v>224</v>
      </c>
      <c r="B34" s="70">
        <v>24</v>
      </c>
      <c r="C34" s="70">
        <v>13</v>
      </c>
      <c r="D34" s="70">
        <v>23</v>
      </c>
      <c r="E34" s="70">
        <v>26</v>
      </c>
    </row>
    <row r="35" spans="1:5" ht="14.25" customHeight="1" x14ac:dyDescent="0.45">
      <c r="A35" s="67" t="s">
        <v>225</v>
      </c>
      <c r="B35" s="71">
        <v>-2278</v>
      </c>
      <c r="C35" s="71">
        <v>-2073</v>
      </c>
      <c r="D35" s="71">
        <v>-2556</v>
      </c>
      <c r="E35" s="71">
        <v>-1548</v>
      </c>
    </row>
    <row r="38" spans="1:5" ht="14.25" customHeight="1" x14ac:dyDescent="0.45">
      <c r="A38" s="72" t="s">
        <v>226</v>
      </c>
      <c r="B38" s="73"/>
      <c r="C38" s="73"/>
      <c r="D38" s="73"/>
      <c r="E38" s="73"/>
    </row>
    <row r="39" spans="1:5" ht="14.25" customHeight="1" x14ac:dyDescent="0.45">
      <c r="A39" s="74" t="s">
        <v>227</v>
      </c>
      <c r="B39" s="70"/>
      <c r="C39" s="70"/>
      <c r="D39" s="70">
        <v>891</v>
      </c>
      <c r="E39" s="70"/>
    </row>
    <row r="40" spans="1:5" ht="14.25" customHeight="1" x14ac:dyDescent="0.45">
      <c r="A40" s="74" t="s">
        <v>228</v>
      </c>
      <c r="B40" s="70"/>
      <c r="C40" s="70"/>
      <c r="D40" s="70">
        <v>-11</v>
      </c>
      <c r="E40" s="70"/>
    </row>
    <row r="41" spans="1:5" ht="14.25" customHeight="1" x14ac:dyDescent="0.45">
      <c r="A41" s="74" t="s">
        <v>229</v>
      </c>
      <c r="B41" s="70">
        <v>1</v>
      </c>
      <c r="C41" s="70">
        <v>4</v>
      </c>
      <c r="D41" s="70">
        <v>12</v>
      </c>
      <c r="E41" s="70">
        <v>3</v>
      </c>
    </row>
    <row r="42" spans="1:5" ht="14.25" customHeight="1" x14ac:dyDescent="0.45">
      <c r="A42" s="74" t="s">
        <v>230</v>
      </c>
      <c r="B42" s="70">
        <v>-16</v>
      </c>
      <c r="C42" s="70">
        <v>-6</v>
      </c>
      <c r="D42" s="70">
        <v>-6</v>
      </c>
      <c r="E42" s="70">
        <v>-20</v>
      </c>
    </row>
    <row r="43" spans="1:5" ht="14.25" customHeight="1" x14ac:dyDescent="0.45">
      <c r="A43" s="74" t="s">
        <v>231</v>
      </c>
      <c r="B43" s="70">
        <v>-1041</v>
      </c>
      <c r="C43" s="70">
        <v>-1851</v>
      </c>
      <c r="D43" s="70">
        <v>-2072</v>
      </c>
      <c r="E43" s="70">
        <v>-1710</v>
      </c>
    </row>
    <row r="44" spans="1:5" ht="14.25" customHeight="1" x14ac:dyDescent="0.45">
      <c r="A44" s="74" t="s">
        <v>232</v>
      </c>
      <c r="B44" s="70"/>
      <c r="C44" s="70"/>
      <c r="D44" s="70">
        <v>-1</v>
      </c>
      <c r="E44" s="70"/>
    </row>
    <row r="45" spans="1:5" ht="14.25" customHeight="1" x14ac:dyDescent="0.45">
      <c r="A45" s="74" t="s">
        <v>233</v>
      </c>
      <c r="B45" s="70"/>
      <c r="C45" s="70"/>
      <c r="D45" s="70">
        <v>-54</v>
      </c>
      <c r="E45" s="70">
        <v>-104</v>
      </c>
    </row>
    <row r="46" spans="1:5" ht="14.25" customHeight="1" x14ac:dyDescent="0.45">
      <c r="A46" s="74" t="s">
        <v>234</v>
      </c>
      <c r="B46" s="70">
        <v>123</v>
      </c>
      <c r="C46" s="70">
        <v>198</v>
      </c>
      <c r="D46" s="70">
        <v>181</v>
      </c>
      <c r="E46" s="70">
        <v>162</v>
      </c>
    </row>
    <row r="47" spans="1:5" ht="14.25" customHeight="1" x14ac:dyDescent="0.45">
      <c r="A47" s="74" t="s">
        <v>235</v>
      </c>
      <c r="B47" s="70">
        <v>-131</v>
      </c>
      <c r="C47" s="70"/>
      <c r="D47" s="70"/>
      <c r="E47" s="70"/>
    </row>
    <row r="48" spans="1:5" ht="14.25" customHeight="1" x14ac:dyDescent="0.45">
      <c r="A48" s="74" t="s">
        <v>236</v>
      </c>
      <c r="B48" s="70">
        <v>-71</v>
      </c>
      <c r="C48" s="70">
        <v>25</v>
      </c>
      <c r="D48" s="70"/>
      <c r="E48" s="70">
        <v>-71</v>
      </c>
    </row>
    <row r="49" spans="1:5" ht="14.25" customHeight="1" x14ac:dyDescent="0.45">
      <c r="A49" s="74" t="s">
        <v>237</v>
      </c>
      <c r="B49" s="70">
        <v>-632</v>
      </c>
      <c r="C49" s="70">
        <v>-688</v>
      </c>
      <c r="D49" s="70">
        <v>-762</v>
      </c>
      <c r="E49" s="70">
        <v>-810</v>
      </c>
    </row>
    <row r="50" spans="1:5" ht="14.25" customHeight="1" x14ac:dyDescent="0.45">
      <c r="A50" s="67" t="s">
        <v>238</v>
      </c>
      <c r="B50" s="71">
        <v>-1767</v>
      </c>
      <c r="C50" s="71">
        <v>-2318</v>
      </c>
      <c r="D50" s="71">
        <v>-1822</v>
      </c>
      <c r="E50" s="71">
        <v>-2550</v>
      </c>
    </row>
    <row r="53" spans="1:5" ht="14.25" customHeight="1" x14ac:dyDescent="0.45">
      <c r="A53" s="67" t="s">
        <v>239</v>
      </c>
      <c r="B53" s="71">
        <v>593</v>
      </c>
      <c r="C53" s="71">
        <v>100</v>
      </c>
      <c r="D53" s="71">
        <v>318</v>
      </c>
      <c r="E53" s="71">
        <v>345</v>
      </c>
    </row>
    <row r="54" spans="1:5" ht="14.25" customHeight="1" x14ac:dyDescent="0.45">
      <c r="A54" s="74" t="s">
        <v>240</v>
      </c>
      <c r="B54" s="70">
        <v>3780</v>
      </c>
      <c r="C54" s="70">
        <v>4568</v>
      </c>
      <c r="D54" s="70">
        <v>4636</v>
      </c>
      <c r="E54" s="70">
        <v>4906</v>
      </c>
    </row>
    <row r="55" spans="1:5" ht="14.25" customHeight="1" x14ac:dyDescent="0.45">
      <c r="A55" s="74" t="s">
        <v>241</v>
      </c>
      <c r="B55" s="70">
        <v>195</v>
      </c>
      <c r="C55" s="70">
        <v>-32</v>
      </c>
      <c r="D55" s="70">
        <v>-48</v>
      </c>
      <c r="E55" s="70">
        <v>42</v>
      </c>
    </row>
    <row r="56" spans="1:5" ht="14.25" customHeight="1" x14ac:dyDescent="0.45">
      <c r="A56" s="67" t="s">
        <v>242</v>
      </c>
      <c r="B56" s="71">
        <v>4568</v>
      </c>
      <c r="C56" s="71">
        <v>4636</v>
      </c>
      <c r="D56" s="71">
        <v>4906</v>
      </c>
      <c r="E56" s="71">
        <v>5293</v>
      </c>
    </row>
    <row r="58" spans="1:5" ht="14.25" customHeight="1" x14ac:dyDescent="0.45">
      <c r="A58" s="86" t="s">
        <v>243</v>
      </c>
      <c r="B58" s="86"/>
      <c r="C58" s="86"/>
      <c r="D58" s="86"/>
      <c r="E58" s="86"/>
    </row>
  </sheetData>
  <mergeCells count="3">
    <mergeCell ref="A1:E1"/>
    <mergeCell ref="A2:E2"/>
    <mergeCell ref="A58:E58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Free Cash Flow</vt:lpstr>
      <vt:lpstr>Fixed Assets</vt:lpstr>
      <vt:lpstr>Net Working Capital</vt:lpstr>
      <vt:lpstr>DCF</vt:lpstr>
      <vt:lpstr>WACC</vt:lpstr>
      <vt:lpstr>Data Source --&gt;</vt:lpstr>
      <vt:lpstr>Income Statement</vt:lpstr>
      <vt:lpstr>Balance Sheet</vt:lpstr>
      <vt:lpstr>Cash Flow Statement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Q</dc:creator>
  <dc:description/>
  <cp:lastModifiedBy>Marco Ceriani</cp:lastModifiedBy>
  <cp:revision>0</cp:revision>
  <dcterms:created xsi:type="dcterms:W3CDTF">2022-06-25T16:24:49Z</dcterms:created>
  <dcterms:modified xsi:type="dcterms:W3CDTF">2026-03-26T12:49:01Z</dcterms:modified>
  <dc:language>en-US</dc:language>
</cp:coreProperties>
</file>